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791" activeTab="3"/>
  </bookViews>
  <sheets>
    <sheet name="Прил№1" sheetId="1" r:id="rId1"/>
    <sheet name="Прил№2" sheetId="3" r:id="rId2"/>
    <sheet name="Прил№3" sheetId="2" r:id="rId3"/>
    <sheet name="Прил№4" sheetId="4" r:id="rId4"/>
  </sheets>
  <definedNames>
    <definedName name="_xlnm.Print_Titles" localSheetId="1">Прил№2!$10:$12</definedName>
    <definedName name="_xlnm.Print_Titles" localSheetId="2">Прил№3!$10:$12</definedName>
    <definedName name="_xlnm.Print_Titles" localSheetId="3">Прил№4!$7:$7</definedName>
    <definedName name="_xlnm.Print_Area" localSheetId="1">Прил№2!$A$1:$M$37</definedName>
  </definedNames>
  <calcPr calcId="125725" refMode="R1C1"/>
</workbook>
</file>

<file path=xl/calcChain.xml><?xml version="1.0" encoding="utf-8"?>
<calcChain xmlns="http://schemas.openxmlformats.org/spreadsheetml/2006/main">
  <c r="E36" i="2"/>
  <c r="F36"/>
  <c r="G36"/>
  <c r="H36"/>
  <c r="K36"/>
  <c r="E37"/>
  <c r="F37"/>
  <c r="G37"/>
  <c r="H37"/>
  <c r="I37"/>
  <c r="J37"/>
  <c r="K37"/>
  <c r="D37"/>
  <c r="D36"/>
  <c r="H25"/>
  <c r="H26"/>
  <c r="H27"/>
  <c r="D28"/>
  <c r="H28"/>
  <c r="D29"/>
  <c r="H29"/>
  <c r="F30"/>
  <c r="H30"/>
  <c r="H31"/>
  <c r="H32"/>
  <c r="D33"/>
  <c r="H33"/>
  <c r="D34"/>
  <c r="E34"/>
  <c r="F34"/>
  <c r="G34"/>
  <c r="H34"/>
  <c r="I34"/>
  <c r="J34"/>
  <c r="L34"/>
  <c r="M34"/>
  <c r="H24"/>
  <c r="H15"/>
  <c r="H16"/>
  <c r="H17"/>
  <c r="H18"/>
  <c r="E19"/>
  <c r="F19"/>
  <c r="G19"/>
  <c r="H19"/>
  <c r="I19"/>
  <c r="L19"/>
  <c r="E20"/>
  <c r="F20"/>
  <c r="G20"/>
  <c r="H20"/>
  <c r="I20"/>
  <c r="L20"/>
  <c r="H21"/>
  <c r="H22"/>
  <c r="D17"/>
  <c r="D19"/>
  <c r="D20"/>
  <c r="E27" i="3"/>
  <c r="E27" i="2" s="1"/>
  <c r="D27" i="3"/>
  <c r="D27" i="2" s="1"/>
  <c r="M37" i="3"/>
  <c r="M37" i="2" s="1"/>
  <c r="M36" i="3"/>
  <c r="M36" i="2" s="1"/>
  <c r="L37" i="3"/>
  <c r="L37" i="2" s="1"/>
  <c r="L36" i="3"/>
  <c r="L36" i="2" s="1"/>
  <c r="J36" i="3"/>
  <c r="J36" i="2" s="1"/>
  <c r="I36" i="3"/>
  <c r="I36" i="2" s="1"/>
  <c r="M33" i="3"/>
  <c r="M33" i="2" s="1"/>
  <c r="M32" i="3"/>
  <c r="M32" i="2" s="1"/>
  <c r="M31" i="3"/>
  <c r="M31" i="2" s="1"/>
  <c r="M30" i="3"/>
  <c r="M30" i="2" s="1"/>
  <c r="M29" i="3"/>
  <c r="M29" i="2" s="1"/>
  <c r="M28" i="3"/>
  <c r="M28" i="2" s="1"/>
  <c r="M27" i="3"/>
  <c r="M27" i="2" s="1"/>
  <c r="M26" i="3"/>
  <c r="M26" i="2" s="1"/>
  <c r="M25" i="3"/>
  <c r="M25" i="2" s="1"/>
  <c r="M24" i="3"/>
  <c r="M24" i="2" s="1"/>
  <c r="L33" i="3"/>
  <c r="L33" i="2" s="1"/>
  <c r="L32" i="3"/>
  <c r="L32" i="2" s="1"/>
  <c r="L31" i="3"/>
  <c r="L31" i="2" s="1"/>
  <c r="L30" i="3"/>
  <c r="L30" i="2" s="1"/>
  <c r="L29" i="3"/>
  <c r="L29" i="2" s="1"/>
  <c r="L28" i="3"/>
  <c r="L28" i="2" s="1"/>
  <c r="L27" i="3"/>
  <c r="L27" i="2" s="1"/>
  <c r="L26" i="3"/>
  <c r="L26" i="2" s="1"/>
  <c r="L25" i="3"/>
  <c r="L25" i="2" s="1"/>
  <c r="L24" i="3"/>
  <c r="L24" i="2" s="1"/>
  <c r="K34" i="3"/>
  <c r="K34" i="2" s="1"/>
  <c r="J25" i="3"/>
  <c r="J25" i="2" s="1"/>
  <c r="K25" i="3"/>
  <c r="K25" i="2" s="1"/>
  <c r="J26" i="3"/>
  <c r="J26" i="2" s="1"/>
  <c r="K26" i="3"/>
  <c r="K26" i="2" s="1"/>
  <c r="J27" i="3"/>
  <c r="J27" i="2" s="1"/>
  <c r="K27" i="3"/>
  <c r="K27" i="2" s="1"/>
  <c r="J28" i="3"/>
  <c r="J28" i="2" s="1"/>
  <c r="K28" i="3"/>
  <c r="K28" i="2" s="1"/>
  <c r="J29" i="3"/>
  <c r="J29" i="2" s="1"/>
  <c r="K29" i="3"/>
  <c r="K29" i="2" s="1"/>
  <c r="J30" i="3"/>
  <c r="J30" i="2" s="1"/>
  <c r="K30" i="3"/>
  <c r="K30" i="2" s="1"/>
  <c r="J31" i="3"/>
  <c r="J31" i="2" s="1"/>
  <c r="K31" i="3"/>
  <c r="K31" i="2" s="1"/>
  <c r="J32" i="3"/>
  <c r="J32" i="2" s="1"/>
  <c r="K32" i="3"/>
  <c r="K32" i="2" s="1"/>
  <c r="J33" i="3"/>
  <c r="J33" i="2" s="1"/>
  <c r="K33" i="3"/>
  <c r="K33" i="2" s="1"/>
  <c r="K24" i="3"/>
  <c r="K24" i="2" s="1"/>
  <c r="J24" i="3"/>
  <c r="J24" i="2" s="1"/>
  <c r="I33" i="3"/>
  <c r="I33" i="2" s="1"/>
  <c r="I32" i="3"/>
  <c r="I32" i="2" s="1"/>
  <c r="I31" i="3"/>
  <c r="I31" i="2" s="1"/>
  <c r="I30" i="3"/>
  <c r="I30" i="2" s="1"/>
  <c r="I29" i="3"/>
  <c r="I29" i="2" s="1"/>
  <c r="I28" i="3"/>
  <c r="I28" i="2" s="1"/>
  <c r="I27" i="3"/>
  <c r="I27" i="2" s="1"/>
  <c r="I26" i="3"/>
  <c r="I26" i="2" s="1"/>
  <c r="I25" i="3"/>
  <c r="I25" i="2" s="1"/>
  <c r="I24" i="3"/>
  <c r="I24" i="2" s="1"/>
  <c r="G33" i="3"/>
  <c r="G33" i="2" s="1"/>
  <c r="G32" i="3"/>
  <c r="G32" i="2" s="1"/>
  <c r="G31" i="3"/>
  <c r="G31" i="2" s="1"/>
  <c r="G30" i="3"/>
  <c r="G30" i="2" s="1"/>
  <c r="G29" i="3"/>
  <c r="G29" i="2" s="1"/>
  <c r="G28" i="3"/>
  <c r="G28" i="2" s="1"/>
  <c r="G27" i="3"/>
  <c r="G27" i="2" s="1"/>
  <c r="G26" i="3"/>
  <c r="G26" i="2" s="1"/>
  <c r="G25" i="3"/>
  <c r="G25" i="2" s="1"/>
  <c r="G24" i="3"/>
  <c r="G24" i="2" s="1"/>
  <c r="F33" i="3"/>
  <c r="F33" i="2" s="1"/>
  <c r="F32" i="3"/>
  <c r="F32" i="2" s="1"/>
  <c r="F31" i="3"/>
  <c r="F31" i="2" s="1"/>
  <c r="F29" i="3"/>
  <c r="F29" i="2" s="1"/>
  <c r="F28" i="3"/>
  <c r="F28" i="2" s="1"/>
  <c r="F27" i="3"/>
  <c r="F27" i="2" s="1"/>
  <c r="F26" i="3"/>
  <c r="F26" i="2" s="1"/>
  <c r="F25" i="3"/>
  <c r="F25" i="2" s="1"/>
  <c r="F24" i="3"/>
  <c r="F24" i="2" s="1"/>
  <c r="E33" i="3"/>
  <c r="E33" i="2" s="1"/>
  <c r="E32" i="3"/>
  <c r="E32" i="2" s="1"/>
  <c r="E31" i="3"/>
  <c r="E31" i="2" s="1"/>
  <c r="E30" i="3"/>
  <c r="E30" i="2" s="1"/>
  <c r="E29" i="3"/>
  <c r="E29" i="2" s="1"/>
  <c r="E28" i="3"/>
  <c r="E28" i="2" s="1"/>
  <c r="E26" i="3"/>
  <c r="E26" i="2" s="1"/>
  <c r="E25" i="3"/>
  <c r="E25" i="2" s="1"/>
  <c r="E24" i="3"/>
  <c r="E24" i="2" s="1"/>
  <c r="D32" i="3"/>
  <c r="D32" i="2" s="1"/>
  <c r="D31" i="3"/>
  <c r="D31" i="2" s="1"/>
  <c r="D30" i="3"/>
  <c r="D30" i="2" s="1"/>
  <c r="D26" i="3"/>
  <c r="D26" i="2" s="1"/>
  <c r="D25" i="3"/>
  <c r="D25" i="2" s="1"/>
  <c r="D24" i="3"/>
  <c r="D24" i="2" s="1"/>
  <c r="M22" i="3"/>
  <c r="M22" i="2" s="1"/>
  <c r="M21" i="3"/>
  <c r="M21" i="2" s="1"/>
  <c r="M20" i="3"/>
  <c r="M20" i="2" s="1"/>
  <c r="M19" i="3"/>
  <c r="M19" i="2" s="1"/>
  <c r="M18" i="3"/>
  <c r="M18" i="2" s="1"/>
  <c r="M17" i="3"/>
  <c r="M17" i="2" s="1"/>
  <c r="M16" i="3"/>
  <c r="M16" i="2" s="1"/>
  <c r="M15" i="3"/>
  <c r="M15" i="2" s="1"/>
  <c r="L22" i="3"/>
  <c r="L22" i="2" s="1"/>
  <c r="L21" i="3"/>
  <c r="L21" i="2" s="1"/>
  <c r="L18" i="3"/>
  <c r="L18" i="2" s="1"/>
  <c r="L17" i="3"/>
  <c r="L17" i="2" s="1"/>
  <c r="L16" i="3"/>
  <c r="L16" i="2" s="1"/>
  <c r="L15" i="3"/>
  <c r="L15" i="2" s="1"/>
  <c r="K15" i="3"/>
  <c r="K15" i="2" s="1"/>
  <c r="K16" i="3"/>
  <c r="K16" i="2" s="1"/>
  <c r="K17" i="3"/>
  <c r="K17" i="2" s="1"/>
  <c r="K18" i="3"/>
  <c r="K18" i="2" s="1"/>
  <c r="K19" i="3"/>
  <c r="K19" i="2" s="1"/>
  <c r="K20" i="3"/>
  <c r="K20" i="2" s="1"/>
  <c r="K21" i="3"/>
  <c r="K21" i="2" s="1"/>
  <c r="K22" i="3"/>
  <c r="K22" i="2" s="1"/>
  <c r="J15" i="3"/>
  <c r="J15" i="2" s="1"/>
  <c r="J16" i="3"/>
  <c r="J16" i="2" s="1"/>
  <c r="J17" i="3"/>
  <c r="J17" i="2" s="1"/>
  <c r="J18" i="3"/>
  <c r="J18" i="2" s="1"/>
  <c r="J19" i="3"/>
  <c r="J19" i="2" s="1"/>
  <c r="J20" i="3"/>
  <c r="J20" i="2" s="1"/>
  <c r="J21" i="3"/>
  <c r="J21" i="2" s="1"/>
  <c r="J22" i="3"/>
  <c r="J22" i="2" s="1"/>
  <c r="I22" i="3"/>
  <c r="I22" i="2" s="1"/>
  <c r="I21" i="3"/>
  <c r="I21" i="2" s="1"/>
  <c r="I18" i="3"/>
  <c r="I18" i="2" s="1"/>
  <c r="I17" i="3"/>
  <c r="I17" i="2" s="1"/>
  <c r="I16" i="3"/>
  <c r="I16" i="2" s="1"/>
  <c r="I15" i="3"/>
  <c r="I15" i="2" s="1"/>
  <c r="G22" i="3"/>
  <c r="G22" i="2" s="1"/>
  <c r="G21" i="3"/>
  <c r="G21" i="2" s="1"/>
  <c r="G18" i="3"/>
  <c r="G18" i="2" s="1"/>
  <c r="G17" i="3"/>
  <c r="G17" i="2" s="1"/>
  <c r="G16" i="3"/>
  <c r="G16" i="2" s="1"/>
  <c r="G15" i="3"/>
  <c r="G15" i="2" s="1"/>
  <c r="F22" i="3"/>
  <c r="F22" i="2" s="1"/>
  <c r="F21" i="3"/>
  <c r="F21" i="2" s="1"/>
  <c r="F18" i="3"/>
  <c r="F18" i="2" s="1"/>
  <c r="F17" i="3"/>
  <c r="F17" i="2" s="1"/>
  <c r="F16" i="3"/>
  <c r="F16" i="2" s="1"/>
  <c r="F15" i="3"/>
  <c r="F15" i="2" s="1"/>
  <c r="E22" i="3"/>
  <c r="E22" i="2" s="1"/>
  <c r="E21" i="3"/>
  <c r="E21" i="2" s="1"/>
  <c r="E18" i="3"/>
  <c r="E18" i="2" s="1"/>
  <c r="E17" i="3"/>
  <c r="E17" i="2" s="1"/>
  <c r="E16" i="3"/>
  <c r="E16" i="2" s="1"/>
  <c r="E15" i="3"/>
  <c r="E15" i="2" s="1"/>
  <c r="D22" i="3"/>
  <c r="D22" i="2" s="1"/>
  <c r="D21" i="3"/>
  <c r="D21" i="2" s="1"/>
  <c r="D18" i="3"/>
  <c r="D18" i="2" s="1"/>
  <c r="D16" i="3"/>
  <c r="D16" i="2" s="1"/>
  <c r="D15" i="3"/>
  <c r="D15" i="2" s="1"/>
  <c r="M14" i="3"/>
  <c r="M14" i="2" s="1"/>
  <c r="L14" i="3"/>
  <c r="L14" i="2" s="1"/>
  <c r="K14" i="3"/>
  <c r="K14" i="2" s="1"/>
  <c r="J14" i="3"/>
  <c r="J14" i="2" s="1"/>
  <c r="I14" i="3"/>
  <c r="I14" i="2" s="1"/>
  <c r="H14" i="3"/>
  <c r="H14" i="2" s="1"/>
  <c r="G14" i="3"/>
  <c r="G14" i="2" s="1"/>
  <c r="F14" i="3"/>
  <c r="F14" i="2" s="1"/>
  <c r="E14" i="3"/>
  <c r="E14" i="2" s="1"/>
  <c r="D14" i="3"/>
  <c r="D14" i="2" s="1"/>
  <c r="C37" i="3" l="1"/>
  <c r="C36"/>
  <c r="C33"/>
  <c r="C37" i="2" l="1"/>
  <c r="C36"/>
  <c r="C33"/>
  <c r="C25"/>
  <c r="C26"/>
  <c r="C27"/>
  <c r="C28"/>
  <c r="C29"/>
  <c r="C30"/>
  <c r="C31"/>
  <c r="C32"/>
  <c r="C34"/>
  <c r="C24"/>
  <c r="C15"/>
  <c r="C16"/>
  <c r="C17"/>
  <c r="C18"/>
  <c r="C19"/>
  <c r="C20"/>
  <c r="C21"/>
  <c r="C22"/>
  <c r="C14"/>
  <c r="C25" i="3"/>
  <c r="C26"/>
  <c r="C27"/>
  <c r="C28"/>
  <c r="C29"/>
  <c r="C30"/>
  <c r="C31"/>
  <c r="C32"/>
  <c r="C34"/>
  <c r="C24"/>
  <c r="C17"/>
  <c r="C18"/>
  <c r="C19"/>
  <c r="C20"/>
  <c r="C21"/>
  <c r="C22"/>
  <c r="C16"/>
  <c r="C15"/>
  <c r="C14"/>
</calcChain>
</file>

<file path=xl/sharedStrings.xml><?xml version="1.0" encoding="utf-8"?>
<sst xmlns="http://schemas.openxmlformats.org/spreadsheetml/2006/main" count="305" uniqueCount="235">
  <si>
    <t>РАЗМЕР ПЛАТЫ</t>
  </si>
  <si>
    <t>за пользование жилыми помещениями (плата за наем) по г. Шарыпово, п. Дубинино, п.Горячегорск</t>
  </si>
  <si>
    <t>( за 1 кв.м. общей площади)</t>
  </si>
  <si>
    <t>№ п./п.</t>
  </si>
  <si>
    <t>Жилое помещение с полным благоустройством</t>
  </si>
  <si>
    <t>Жилое помещение частично благоустроенное (наличие хотя бы одного вида централизованных коммунальных услуг)</t>
  </si>
  <si>
    <t>Не благоустроенное жилое помещение (полное отсутствие централизованных коммунальных услуг)</t>
  </si>
  <si>
    <t>по 1985 г. включительно</t>
  </si>
  <si>
    <t>- кирпичные, многослойные</t>
  </si>
  <si>
    <t>руб./м2</t>
  </si>
  <si>
    <t>- панельные, крупнопанельные</t>
  </si>
  <si>
    <t>- деревянные, брусчатые</t>
  </si>
  <si>
    <t>с 1986г. до 1992г. включительно</t>
  </si>
  <si>
    <t>с 1993г.</t>
  </si>
  <si>
    <t>Приложение №2 к Решению Шарыповского</t>
  </si>
  <si>
    <t>Жилое помещение с сидячими ваннами, оборудованными душами,с душами,с общими душами</t>
  </si>
  <si>
    <t>Ед.изм.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</si>
  <si>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</si>
  <si>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</si>
  <si>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</si>
  <si>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</si>
  <si>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</si>
  <si>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</si>
  <si>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</si>
  <si>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</si>
  <si>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</si>
  <si>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Степень благоустройства /                                                                    Вид капитальности</t>
  </si>
  <si>
    <t>Приложение №3 к Решению Шарыповского</t>
  </si>
  <si>
    <t>(при общей системе налогообложения)</t>
  </si>
  <si>
    <t>(за м2 общей площади в месяц)</t>
  </si>
  <si>
    <t>Категории жилых зданий по степени благоустройства</t>
  </si>
  <si>
    <t>Размер платы* для населения,руб./м2, в том числе по видам затрат:</t>
  </si>
  <si>
    <t>Содержание общего имущества многоквартирного дома</t>
  </si>
  <si>
    <t>Содержание общих коммуникаций, технических устройств и оборудования многоквартирного дома, при наличии соответствующего оборудования</t>
  </si>
  <si>
    <t>Сбор и вывоз твердых бытовых отходов</t>
  </si>
  <si>
    <t>Текущий ремонт общего имущества</t>
  </si>
  <si>
    <t>Услуги и работы по управлению</t>
  </si>
  <si>
    <t>уборка и санитарно-гигиеническая очистка помещений общего пользования</t>
  </si>
  <si>
    <t>Уборка и санитарно-гигиеническая очистка, содержание и уход за элементами озеленения и благоустройства, придомовой территории</t>
  </si>
  <si>
    <t>проведение дезинфекции, дезинсекции, дератизации помещений общего пользования</t>
  </si>
  <si>
    <t xml:space="preserve">содержание конструктивных элементов </t>
  </si>
  <si>
    <t>содержание лифтового оборудования</t>
  </si>
  <si>
    <t>содержание внутридомового инженерного оборудования</t>
  </si>
  <si>
    <t>выполнение работ по устранению аварийных ситуаций (содержание ЦАДС)</t>
  </si>
  <si>
    <t>Жилое помещение в 9-ти этажном доме с лифтом и мусоропроводом</t>
  </si>
  <si>
    <t>Жилое помещение в 5-ти этажном доме без мусоропровода</t>
  </si>
  <si>
    <t>Жилое помещение в 2-х этажном доме с полным благоустройством</t>
  </si>
  <si>
    <t>Жилое помещение в 2-х этажном одноподъездном  доме с полным благоустройством</t>
  </si>
  <si>
    <t>Жилое помещение в малоэтажной застройке (коттедже)</t>
  </si>
  <si>
    <t>Жилое помещение с измененным статусом общежития на статус жилого дома с мусоропроводом</t>
  </si>
  <si>
    <t>Жилое помещение с измененным статусом общежития коридорного типа на статус жилого дома с мусоропроводом</t>
  </si>
  <si>
    <t>Жилое помещение в 4-х этажном доме без мусоропровода</t>
  </si>
  <si>
    <t>Жилое помещение в 3-х этажном доме</t>
  </si>
  <si>
    <t>Жилое помещение в 3-х, 2-х этажном одноподъездном  доме</t>
  </si>
  <si>
    <t>Жилое помещение в 2-х этажном доме</t>
  </si>
  <si>
    <t>Жилое помещение в 2-х этажном сборно-щитовом доме</t>
  </si>
  <si>
    <t>Жилое помещение с измененным статусом общежития на статус жилого дома без мусоропровода</t>
  </si>
  <si>
    <t>Жилое помещение с измененным статусом общежития коридорного типа на статус жилого дома</t>
  </si>
  <si>
    <t>Жилое помещение расположенное по адресу пер. Молодежный, д.1, пом.7 (социальный дом)</t>
  </si>
  <si>
    <t>Жилое помещение расположенное по адресу пер. Молодежный, д.1,(жилой дом)</t>
  </si>
  <si>
    <t>1-но этажные дома</t>
  </si>
  <si>
    <t xml:space="preserve">Жилое помещение в доме с центральным отоплением </t>
  </si>
  <si>
    <t xml:space="preserve">Жилое помещение в доме с печным отоплением </t>
  </si>
  <si>
    <t>Жилое помещение в 6-ти, 5-ти этажном доме с мусоропроводом</t>
  </si>
  <si>
    <t>Жилое помещение в 6-ти, 5-ти этажном доме без мусоропровода</t>
  </si>
  <si>
    <t>(при упрощенной системе налогообложения)</t>
  </si>
  <si>
    <t>Приложение №1 к Решению Шарыповского</t>
  </si>
  <si>
    <t>вступает в силу с 01.01.2015г. по 31.12.2015г.</t>
  </si>
  <si>
    <t>Адрес многоквартирного дома</t>
  </si>
  <si>
    <t>город Шарыпово</t>
  </si>
  <si>
    <t>9-ти этажный дом с лифтом и мусоропроводом</t>
  </si>
  <si>
    <t>Пионерный мкр.,д.155</t>
  </si>
  <si>
    <t xml:space="preserve"> 6 мкр.,д. 2</t>
  </si>
  <si>
    <t xml:space="preserve"> 4 мкр.,д.20</t>
  </si>
  <si>
    <t xml:space="preserve"> 6 мкр.,д 4</t>
  </si>
  <si>
    <t>6 мкр.,д. 6</t>
  </si>
  <si>
    <t>6 мкр.,д. 8</t>
  </si>
  <si>
    <t>6 мкр.,д. 10</t>
  </si>
  <si>
    <t>6 мкр.,д. 20</t>
  </si>
  <si>
    <t>6 мкр.,д. 22</t>
  </si>
  <si>
    <t>6 мкр.,д.37</t>
  </si>
  <si>
    <t>6 мкр.,д.41</t>
  </si>
  <si>
    <t>6 мкр.,д.44</t>
  </si>
  <si>
    <t>6 мкр.,д.45</t>
  </si>
  <si>
    <t>6 мкр.,д.36</t>
  </si>
  <si>
    <t>6 мкр.,д.38</t>
  </si>
  <si>
    <t>6 мкр.,д.40</t>
  </si>
  <si>
    <t>6 мкр.,д.48</t>
  </si>
  <si>
    <t>6 мкр.,д.50</t>
  </si>
  <si>
    <t>6 мкр.,д.52</t>
  </si>
  <si>
    <t xml:space="preserve"> 2 мкр.д.6</t>
  </si>
  <si>
    <t>2 мкр.д.7</t>
  </si>
  <si>
    <t>2 мкр.д.15</t>
  </si>
  <si>
    <t>2 мкр.д.4//4</t>
  </si>
  <si>
    <t>2 мкр.д.4//5</t>
  </si>
  <si>
    <t>2 мкр.д.4//8</t>
  </si>
  <si>
    <t>2 мкр.д.16</t>
  </si>
  <si>
    <t>2 мкр.д.17</t>
  </si>
  <si>
    <t>2 мкр.д.18</t>
  </si>
  <si>
    <t>2 мкр.д.4//6</t>
  </si>
  <si>
    <t>2 мкр.д.4//7</t>
  </si>
  <si>
    <t>2 мкр.,д.1</t>
  </si>
  <si>
    <t>2 мкр.,д.2</t>
  </si>
  <si>
    <t>2 мкр.,д.4//2</t>
  </si>
  <si>
    <t>2 мкр.,д.4//3</t>
  </si>
  <si>
    <t>2 мкр.,д.5</t>
  </si>
  <si>
    <t>2 мкр.,д.3</t>
  </si>
  <si>
    <t>2 мкр.,д.4//1</t>
  </si>
  <si>
    <t>6-ти, 5-ти этажный дом с мусоропроводом</t>
  </si>
  <si>
    <t>Пионерный мкр.,д.156</t>
  </si>
  <si>
    <t>Пионерный мкр.,д.52</t>
  </si>
  <si>
    <t xml:space="preserve"> 3 мкр.,д.6</t>
  </si>
  <si>
    <t xml:space="preserve"> 4 мкр.,д.17</t>
  </si>
  <si>
    <t xml:space="preserve"> 4 мкр.,д 18</t>
  </si>
  <si>
    <t>6 мкр.,д. 1</t>
  </si>
  <si>
    <t>6 мкр.,д. 11</t>
  </si>
  <si>
    <t>6 мкр.,д. 12</t>
  </si>
  <si>
    <t>6 мкр.,д. 19</t>
  </si>
  <si>
    <t>6 мкр.,д.39</t>
  </si>
  <si>
    <t>6 мкр.,д.39А</t>
  </si>
  <si>
    <t>6 мкр.,д.47</t>
  </si>
  <si>
    <t>6 мкр.,д.47А</t>
  </si>
  <si>
    <t>6 мкр.,д.43</t>
  </si>
  <si>
    <t>6 мкр.,д.49</t>
  </si>
  <si>
    <t>7 мкр.д.11</t>
  </si>
  <si>
    <t>7 мкр.д.14</t>
  </si>
  <si>
    <t>7 мкр.д.13</t>
  </si>
  <si>
    <t>2 мкр.д.1//12</t>
  </si>
  <si>
    <t>2 мкр.д.1//13</t>
  </si>
  <si>
    <t>2 мкр.д.1//14</t>
  </si>
  <si>
    <t>2 мкр.д.1//15</t>
  </si>
  <si>
    <t>2 мкр.,д.1//6</t>
  </si>
  <si>
    <t>2 мкр.,д.1//9</t>
  </si>
  <si>
    <t>2 мкр.,д.1//10</t>
  </si>
  <si>
    <t>2 мкр.,д.1//19</t>
  </si>
  <si>
    <t>2 мкр.,д.1//20</t>
  </si>
  <si>
    <t>6-ти, 5-ти этажный дом без мусоропровода</t>
  </si>
  <si>
    <t xml:space="preserve"> 4 мкр.,д.28</t>
  </si>
  <si>
    <t xml:space="preserve"> 4 мкр.,д.29</t>
  </si>
  <si>
    <t xml:space="preserve"> 4 мкр.,д.25</t>
  </si>
  <si>
    <t xml:space="preserve"> 4 мкр..д 27</t>
  </si>
  <si>
    <t xml:space="preserve"> 7 мкр.,д.8</t>
  </si>
  <si>
    <t>2 мкр.д.1//11</t>
  </si>
  <si>
    <t>2 мкр.д.1//21</t>
  </si>
  <si>
    <t>2 мкр.д.1//16</t>
  </si>
  <si>
    <t>2 мкр.д.1//22</t>
  </si>
  <si>
    <t>2 мкр.д.1//26</t>
  </si>
  <si>
    <t>2 мкр.,д.1//5</t>
  </si>
  <si>
    <t>2 мкр.,д.1//7</t>
  </si>
  <si>
    <t>2 мкр.,д.1//8</t>
  </si>
  <si>
    <t>2 мкр.,д.1//3</t>
  </si>
  <si>
    <t>3-х, 2-х этажный дом с полным благоустройством</t>
  </si>
  <si>
    <t>ул. Горького 61</t>
  </si>
  <si>
    <t>ул. Горького 50</t>
  </si>
  <si>
    <t>ул. Горького 51</t>
  </si>
  <si>
    <t>ул. Горького,53</t>
  </si>
  <si>
    <t>ул. Горького 59</t>
  </si>
  <si>
    <t>ул. Горького 59а</t>
  </si>
  <si>
    <t>ул. Горького 57а</t>
  </si>
  <si>
    <t>ул. Горького 63</t>
  </si>
  <si>
    <t>ул. Горького 65</t>
  </si>
  <si>
    <t>ул. Горького 65а</t>
  </si>
  <si>
    <t>ул. Горького,55</t>
  </si>
  <si>
    <t>ул. Горького 57</t>
  </si>
  <si>
    <t>дом с измененным статусом общежития на статус жилого дома с мусоропроводом</t>
  </si>
  <si>
    <t>6 мкр.,д. 15</t>
  </si>
  <si>
    <t>6 мкр.,д. 17а</t>
  </si>
  <si>
    <t>6 мкр.,д. 54</t>
  </si>
  <si>
    <t>6 мкр.,д. 13</t>
  </si>
  <si>
    <t>6 мкр.,д. 17</t>
  </si>
  <si>
    <t>дом с измененным статусом общежития коридорного типа на статус жилого дома с мусоропроводом</t>
  </si>
  <si>
    <t>Северный мкр.,д.32</t>
  </si>
  <si>
    <t>Северный мкр.,д.33</t>
  </si>
  <si>
    <t>Пионерный мкр.,д 27</t>
  </si>
  <si>
    <t>Пионерный мкр.,д 23</t>
  </si>
  <si>
    <t>Пионерный мкр.,д 42</t>
  </si>
  <si>
    <t>Пионерный мкр.,д 3</t>
  </si>
  <si>
    <t>рабочий поселок Дубинино</t>
  </si>
  <si>
    <t>5-ти этажный дом без мусоропровода</t>
  </si>
  <si>
    <t>ул. 9 мая 15</t>
  </si>
  <si>
    <t>ул. 9 мая 17</t>
  </si>
  <si>
    <t>ул. Пионеров КАТЭКа 33</t>
  </si>
  <si>
    <t>ул. Пионеров КАТЭКа 35</t>
  </si>
  <si>
    <t>ул. Пионеров КАТЭКа 37</t>
  </si>
  <si>
    <t>ул. Пионеров КАТЭКа 49</t>
  </si>
  <si>
    <t xml:space="preserve">ул. Пионеров КАТЭКа 51 </t>
  </si>
  <si>
    <t>ул. Пионеров КАТЭКа 51а</t>
  </si>
  <si>
    <t>ул. Комсомольская 28</t>
  </si>
  <si>
    <t>ул. Комсомольская 30</t>
  </si>
  <si>
    <t>ул. Комсомольская 32</t>
  </si>
  <si>
    <t>ул. Комсомольская 34</t>
  </si>
  <si>
    <t>ул. Пионеров КАТЭКа 19</t>
  </si>
  <si>
    <t>ул. Комсомольская 26 "а"</t>
  </si>
  <si>
    <t xml:space="preserve">ул. Дружбы 5 </t>
  </si>
  <si>
    <t xml:space="preserve">ул. Дружбы 7 </t>
  </si>
  <si>
    <t>4-х этажный дом без мусоропровода</t>
  </si>
  <si>
    <t>ул. 9 мая 4</t>
  </si>
  <si>
    <t>ул. Пионеров КАТЭКа 61</t>
  </si>
  <si>
    <t>ул. Пионеров КАТЭКа 63</t>
  </si>
  <si>
    <t>ул. 19 съезда ВЛКСМ 18</t>
  </si>
  <si>
    <t>3-х этажный дом</t>
  </si>
  <si>
    <t>ул. Пионеров КАТЭКа 57</t>
  </si>
  <si>
    <t>ул. Пионеров КАТЭКа 59</t>
  </si>
  <si>
    <t>ул. Советская 21</t>
  </si>
  <si>
    <t>ул. Пионеров Катэка 29</t>
  </si>
  <si>
    <t>ул. Комсомольская 6</t>
  </si>
  <si>
    <t>2-х этажный дом</t>
  </si>
  <si>
    <t>пер.Молодежный 1</t>
  </si>
  <si>
    <t>ул. Советская 13</t>
  </si>
  <si>
    <t>ул. Советская 15</t>
  </si>
  <si>
    <t>дом с измененным статусом общежития на статус жилого дома без мусоропровода</t>
  </si>
  <si>
    <t>ул. 19 съезда ВЛКСМ 10</t>
  </si>
  <si>
    <t>социальный дом</t>
  </si>
  <si>
    <t>рабочий поселок Горячегорск</t>
  </si>
  <si>
    <t xml:space="preserve">дом с центральным отоплением </t>
  </si>
  <si>
    <t>ул. Центральная 40</t>
  </si>
  <si>
    <t>ул. Центральная 42</t>
  </si>
  <si>
    <t>Приложение №4 к Решению Шарыповского</t>
  </si>
  <si>
    <t>Перечень многоквартирных домов, собственники помещений в которых на их общем собрании не приняли решение об установлении размера платы за содержание и ремонт жилого помещения</t>
  </si>
  <si>
    <t>Жилое помещение в 2-х этажном доме блокированной застройки, 1-но этажном доме</t>
  </si>
  <si>
    <t>2-х этажный дом блокированной застройки, 1-но этажный дом</t>
  </si>
  <si>
    <t>Размер платы за содержание и ремонт жилого помещения для нанимателей жилых помещений по договорам социального найма и договорам найма жилых помещений государственного или муниципального жилищного фонда и размер платы за содержание и ремонт жилого помещения для собственников жилых помещений, которые не приняли решение о выборе способа управления многоквартирным домом, а также для собственников помещений, которые на их общем собрании не приняли решение об установлении размера платы за содержание и ремонт жилого помещения</t>
  </si>
  <si>
    <t>дом с измененным статусом общежития коридорного типа на статус жилого дома</t>
  </si>
  <si>
    <t>4 мкр.,д.20/1</t>
  </si>
  <si>
    <t>Пионерный мкр.,д.22</t>
  </si>
  <si>
    <t>Пионерный мкр.,д 53</t>
  </si>
  <si>
    <t>ул.Кишиневская 1</t>
  </si>
  <si>
    <t>ул.Молодогварцейцев 2</t>
  </si>
  <si>
    <t>3-х, 2-х этажный одноподъездный дом</t>
  </si>
  <si>
    <t>ул.Кишиневская 5</t>
  </si>
  <si>
    <t>ул. 19 съезда ВЛКСМ 9</t>
  </si>
  <si>
    <t>ул. 19 съезда ВЛКСМ 1</t>
  </si>
  <si>
    <t xml:space="preserve">городского Совета депутатов </t>
  </si>
  <si>
    <t>от 25.11.2014 № 58-342</t>
  </si>
  <si>
    <t xml:space="preserve">городского Совета депутатов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</si>
</sst>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3" sqref="F3:G3"/>
    </sheetView>
  </sheetViews>
  <sheetFormatPr defaultRowHeight="15"/>
  <cols>
    <col min="1" max="1" width="8.140625" style="1" customWidth="1"/>
    <col min="2" max="2" width="35.140625" style="1" customWidth="1"/>
    <col min="3" max="3" width="9.140625" style="1"/>
    <col min="4" max="4" width="18.85546875" style="1" customWidth="1"/>
    <col min="5" max="5" width="24.5703125" style="1" customWidth="1"/>
    <col min="6" max="6" width="22.7109375" style="1" customWidth="1"/>
    <col min="7" max="7" width="21.7109375" style="1" customWidth="1"/>
    <col min="8" max="16384" width="9.140625" style="1"/>
  </cols>
  <sheetData>
    <row r="1" spans="1:8" ht="15" customHeight="1">
      <c r="F1" s="34" t="s">
        <v>66</v>
      </c>
      <c r="G1" s="34"/>
    </row>
    <row r="2" spans="1:8" ht="15" customHeight="1">
      <c r="F2" s="34" t="s">
        <v>232</v>
      </c>
      <c r="G2" s="34"/>
    </row>
    <row r="3" spans="1:8">
      <c r="A3" s="2"/>
      <c r="F3" s="34" t="s">
        <v>233</v>
      </c>
      <c r="G3" s="61"/>
    </row>
    <row r="4" spans="1:8" ht="15.75">
      <c r="A4" s="3"/>
    </row>
    <row r="5" spans="1:8" ht="15.75">
      <c r="A5" s="31" t="s">
        <v>0</v>
      </c>
      <c r="B5" s="31"/>
      <c r="C5" s="31"/>
      <c r="D5" s="31"/>
      <c r="E5" s="31"/>
      <c r="F5" s="31"/>
      <c r="G5" s="31"/>
    </row>
    <row r="6" spans="1:8" ht="15.75">
      <c r="A6" s="32" t="s">
        <v>1</v>
      </c>
      <c r="B6" s="32"/>
      <c r="C6" s="32"/>
      <c r="D6" s="32"/>
      <c r="E6" s="32"/>
      <c r="F6" s="32"/>
      <c r="G6" s="32"/>
    </row>
    <row r="7" spans="1:8" ht="15.75">
      <c r="A7" s="33" t="s">
        <v>2</v>
      </c>
      <c r="B7" s="33"/>
      <c r="C7" s="33"/>
      <c r="D7" s="33"/>
      <c r="E7" s="33"/>
      <c r="F7" s="33"/>
      <c r="G7" s="33"/>
    </row>
    <row r="8" spans="1:8" ht="15.75">
      <c r="A8" s="4"/>
      <c r="B8" s="4"/>
      <c r="C8" s="4"/>
      <c r="D8" s="4"/>
      <c r="E8" s="4"/>
      <c r="F8" s="4"/>
      <c r="G8" s="4"/>
    </row>
    <row r="9" spans="1:8" ht="123" customHeight="1">
      <c r="A9" s="5" t="s">
        <v>3</v>
      </c>
      <c r="B9" s="5" t="s">
        <v>26</v>
      </c>
      <c r="C9" s="5" t="s">
        <v>16</v>
      </c>
      <c r="D9" s="5" t="s">
        <v>4</v>
      </c>
      <c r="E9" s="5" t="s">
        <v>15</v>
      </c>
      <c r="F9" s="5" t="s">
        <v>5</v>
      </c>
      <c r="G9" s="5" t="s">
        <v>6</v>
      </c>
      <c r="H9" s="6"/>
    </row>
    <row r="10" spans="1:8" ht="15.75">
      <c r="A10" s="5">
        <v>1</v>
      </c>
      <c r="B10" s="35" t="s">
        <v>7</v>
      </c>
      <c r="C10" s="35"/>
      <c r="D10" s="35"/>
      <c r="E10" s="35"/>
      <c r="F10" s="35"/>
      <c r="G10" s="35"/>
    </row>
    <row r="11" spans="1:8" ht="15.75">
      <c r="A11" s="7" t="s">
        <v>17</v>
      </c>
      <c r="B11" s="19" t="s">
        <v>8</v>
      </c>
      <c r="C11" s="19" t="s">
        <v>9</v>
      </c>
      <c r="D11" s="19">
        <v>6.61</v>
      </c>
      <c r="E11" s="19">
        <v>5.95</v>
      </c>
      <c r="F11" s="19">
        <v>5.29</v>
      </c>
      <c r="G11" s="19">
        <v>4.63</v>
      </c>
    </row>
    <row r="12" spans="1:8" ht="15.75">
      <c r="A12" s="7" t="s">
        <v>18</v>
      </c>
      <c r="B12" s="19" t="s">
        <v>10</v>
      </c>
      <c r="C12" s="19" t="s">
        <v>9</v>
      </c>
      <c r="D12" s="19">
        <v>8.01</v>
      </c>
      <c r="E12" s="19">
        <v>7.21</v>
      </c>
      <c r="F12" s="19">
        <v>6.41</v>
      </c>
      <c r="G12" s="19">
        <v>5.61</v>
      </c>
    </row>
    <row r="13" spans="1:8" ht="15.75">
      <c r="A13" s="7" t="s">
        <v>19</v>
      </c>
      <c r="B13" s="19" t="s">
        <v>11</v>
      </c>
      <c r="C13" s="19" t="s">
        <v>9</v>
      </c>
      <c r="D13" s="19">
        <v>3.61</v>
      </c>
      <c r="E13" s="19">
        <v>3.25</v>
      </c>
      <c r="F13" s="19">
        <v>2.89</v>
      </c>
      <c r="G13" s="19">
        <v>2.5299999999999998</v>
      </c>
    </row>
    <row r="14" spans="1:8" ht="15.75">
      <c r="A14" s="5">
        <v>2</v>
      </c>
      <c r="B14" s="30" t="s">
        <v>12</v>
      </c>
      <c r="C14" s="30"/>
      <c r="D14" s="30"/>
      <c r="E14" s="30"/>
      <c r="F14" s="30"/>
      <c r="G14" s="30"/>
    </row>
    <row r="15" spans="1:8" ht="15.75">
      <c r="A15" s="7" t="s">
        <v>20</v>
      </c>
      <c r="B15" s="19" t="s">
        <v>8</v>
      </c>
      <c r="C15" s="19" t="s">
        <v>9</v>
      </c>
      <c r="D15" s="19">
        <v>7.61</v>
      </c>
      <c r="E15" s="19">
        <v>6.85</v>
      </c>
      <c r="F15" s="19">
        <v>6.09</v>
      </c>
      <c r="G15" s="19">
        <v>5.33</v>
      </c>
    </row>
    <row r="16" spans="1:8" ht="15.75">
      <c r="A16" s="7" t="s">
        <v>21</v>
      </c>
      <c r="B16" s="19" t="s">
        <v>10</v>
      </c>
      <c r="C16" s="19" t="s">
        <v>9</v>
      </c>
      <c r="D16" s="19">
        <v>9.1300000000000008</v>
      </c>
      <c r="E16" s="19">
        <v>8.2200000000000006</v>
      </c>
      <c r="F16" s="19">
        <v>7.3</v>
      </c>
      <c r="G16" s="19">
        <v>6.39</v>
      </c>
    </row>
    <row r="17" spans="1:7" ht="15.75">
      <c r="A17" s="7" t="s">
        <v>22</v>
      </c>
      <c r="B17" s="19" t="s">
        <v>11</v>
      </c>
      <c r="C17" s="19" t="s">
        <v>9</v>
      </c>
      <c r="D17" s="19">
        <v>4</v>
      </c>
      <c r="E17" s="19">
        <v>3.6</v>
      </c>
      <c r="F17" s="19">
        <v>3.2</v>
      </c>
      <c r="G17" s="19">
        <v>2.8</v>
      </c>
    </row>
    <row r="18" spans="1:7" ht="15.75">
      <c r="A18" s="5">
        <v>3</v>
      </c>
      <c r="B18" s="30" t="s">
        <v>13</v>
      </c>
      <c r="C18" s="30"/>
      <c r="D18" s="30"/>
      <c r="E18" s="30"/>
      <c r="F18" s="30"/>
      <c r="G18" s="30"/>
    </row>
    <row r="19" spans="1:7" ht="15.75">
      <c r="A19" s="7" t="s">
        <v>23</v>
      </c>
      <c r="B19" s="19" t="s">
        <v>8</v>
      </c>
      <c r="C19" s="19" t="s">
        <v>9</v>
      </c>
      <c r="D19" s="19">
        <v>11.98</v>
      </c>
      <c r="E19" s="19">
        <v>10.78</v>
      </c>
      <c r="F19" s="19">
        <v>9.58</v>
      </c>
      <c r="G19" s="19">
        <v>8.39</v>
      </c>
    </row>
    <row r="20" spans="1:7" ht="15.75">
      <c r="A20" s="7" t="s">
        <v>24</v>
      </c>
      <c r="B20" s="19" t="s">
        <v>10</v>
      </c>
      <c r="C20" s="19" t="s">
        <v>9</v>
      </c>
      <c r="D20" s="19">
        <v>11.24</v>
      </c>
      <c r="E20" s="19">
        <v>10.119999999999999</v>
      </c>
      <c r="F20" s="19">
        <v>8.99</v>
      </c>
      <c r="G20" s="19">
        <v>7.87</v>
      </c>
    </row>
    <row r="21" spans="1:7" ht="15.75">
      <c r="A21" s="7" t="s">
        <v>25</v>
      </c>
      <c r="B21" s="19" t="s">
        <v>11</v>
      </c>
      <c r="C21" s="19" t="s">
        <v>9</v>
      </c>
      <c r="D21" s="19">
        <v>4.72</v>
      </c>
      <c r="E21" s="19">
        <v>4.25</v>
      </c>
      <c r="F21" s="19">
        <v>3.78</v>
      </c>
      <c r="G21" s="19">
        <v>3.3</v>
      </c>
    </row>
  </sheetData>
  <mergeCells count="9">
    <mergeCell ref="B18:G18"/>
    <mergeCell ref="A5:G5"/>
    <mergeCell ref="A6:G6"/>
    <mergeCell ref="A7:G7"/>
    <mergeCell ref="F1:G1"/>
    <mergeCell ref="F2:G2"/>
    <mergeCell ref="B10:G10"/>
    <mergeCell ref="B14:G14"/>
    <mergeCell ref="F3:G3"/>
  </mergeCells>
  <pageMargins left="0.46" right="0.18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7"/>
  <sheetViews>
    <sheetView zoomScaleNormal="100" workbookViewId="0">
      <selection activeCell="J2" sqref="J2:M2"/>
    </sheetView>
  </sheetViews>
  <sheetFormatPr defaultRowHeight="12.75"/>
  <cols>
    <col min="1" max="1" width="5.85546875" style="8" customWidth="1"/>
    <col min="2" max="2" width="25.42578125" style="8" customWidth="1"/>
    <col min="3" max="3" width="9.140625" style="8"/>
    <col min="4" max="4" width="10.28515625" style="8" customWidth="1"/>
    <col min="5" max="5" width="14.5703125" style="8" customWidth="1"/>
    <col min="6" max="6" width="11" style="8" customWidth="1"/>
    <col min="7" max="7" width="8.7109375" style="8" customWidth="1"/>
    <col min="8" max="11" width="9.140625" style="8"/>
    <col min="12" max="12" width="9.5703125" style="8" customWidth="1"/>
    <col min="13" max="16384" width="9.140625" style="8"/>
  </cols>
  <sheetData>
    <row r="1" spans="1:13">
      <c r="J1" s="42" t="s">
        <v>14</v>
      </c>
      <c r="K1" s="42"/>
      <c r="L1" s="42"/>
      <c r="M1" s="42"/>
    </row>
    <row r="2" spans="1:13">
      <c r="J2" s="42" t="s">
        <v>234</v>
      </c>
      <c r="K2" s="42"/>
      <c r="L2" s="42"/>
      <c r="M2" s="42"/>
    </row>
    <row r="3" spans="1:13">
      <c r="J3" s="42" t="s">
        <v>233</v>
      </c>
      <c r="K3" s="42"/>
      <c r="L3" s="42"/>
      <c r="M3" s="42"/>
    </row>
    <row r="4" spans="1:13">
      <c r="J4" s="12"/>
      <c r="K4" s="12"/>
      <c r="L4" s="12"/>
      <c r="M4" s="12"/>
    </row>
    <row r="5" spans="1:13" ht="60.75" customHeight="1">
      <c r="A5" s="43" t="s">
        <v>221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>
      <c r="A6" s="43" t="s">
        <v>65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>
      <c r="A7" s="40" t="s">
        <v>29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>
      <c r="A8" s="40" t="s">
        <v>67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ht="60" customHeight="1">
      <c r="A10" s="36" t="s">
        <v>3</v>
      </c>
      <c r="B10" s="36" t="s">
        <v>30</v>
      </c>
      <c r="C10" s="38" t="s">
        <v>31</v>
      </c>
      <c r="D10" s="36" t="s">
        <v>32</v>
      </c>
      <c r="E10" s="36"/>
      <c r="F10" s="36"/>
      <c r="G10" s="36" t="s">
        <v>33</v>
      </c>
      <c r="H10" s="36"/>
      <c r="I10" s="36"/>
      <c r="J10" s="36"/>
      <c r="K10" s="41" t="s">
        <v>34</v>
      </c>
      <c r="L10" s="41" t="s">
        <v>35</v>
      </c>
      <c r="M10" s="41" t="s">
        <v>36</v>
      </c>
    </row>
    <row r="11" spans="1:13" ht="151.5">
      <c r="A11" s="36"/>
      <c r="B11" s="36"/>
      <c r="C11" s="39"/>
      <c r="D11" s="9" t="s">
        <v>37</v>
      </c>
      <c r="E11" s="9" t="s">
        <v>38</v>
      </c>
      <c r="F11" s="9" t="s">
        <v>39</v>
      </c>
      <c r="G11" s="9" t="s">
        <v>40</v>
      </c>
      <c r="H11" s="9" t="s">
        <v>41</v>
      </c>
      <c r="I11" s="9" t="s">
        <v>42</v>
      </c>
      <c r="J11" s="9" t="s">
        <v>43</v>
      </c>
      <c r="K11" s="41"/>
      <c r="L11" s="41"/>
      <c r="M11" s="41"/>
    </row>
    <row r="12" spans="1:13" s="15" customFormat="1" ht="11.25">
      <c r="A12" s="13">
        <v>1</v>
      </c>
      <c r="B12" s="13">
        <v>2</v>
      </c>
      <c r="C12" s="14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</row>
    <row r="13" spans="1:13">
      <c r="A13" s="36" t="s">
        <v>69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</row>
    <row r="14" spans="1:13" ht="38.25">
      <c r="A14" s="10">
        <v>1</v>
      </c>
      <c r="B14" s="10" t="s">
        <v>44</v>
      </c>
      <c r="C14" s="16">
        <f>SUM(D14:M14)</f>
        <v>21.560400000000001</v>
      </c>
      <c r="D14" s="17">
        <f>4.07*1.06</f>
        <v>4.3142000000000005</v>
      </c>
      <c r="E14" s="17">
        <f>1.3*1.06</f>
        <v>1.3780000000000001</v>
      </c>
      <c r="F14" s="17">
        <f>0.14*1.06</f>
        <v>0.14840000000000003</v>
      </c>
      <c r="G14" s="17">
        <f>0.75*1.06</f>
        <v>0.79500000000000004</v>
      </c>
      <c r="H14" s="17">
        <f>4.96*1.06</f>
        <v>5.2576000000000001</v>
      </c>
      <c r="I14" s="17">
        <f>1.2*1.06</f>
        <v>1.272</v>
      </c>
      <c r="J14" s="17">
        <f>0.96*1.06</f>
        <v>1.0176000000000001</v>
      </c>
      <c r="K14" s="17">
        <f>1.36*1.06</f>
        <v>1.4416000000000002</v>
      </c>
      <c r="L14" s="17">
        <f>2.73*1.06</f>
        <v>2.8938000000000001</v>
      </c>
      <c r="M14" s="17">
        <f>2.87*1.06</f>
        <v>3.0422000000000002</v>
      </c>
    </row>
    <row r="15" spans="1:13" ht="38.25">
      <c r="A15" s="10">
        <v>2</v>
      </c>
      <c r="B15" s="10" t="s">
        <v>63</v>
      </c>
      <c r="C15" s="16">
        <f>SUM(D15:M15)</f>
        <v>18.433400000000002</v>
      </c>
      <c r="D15" s="17">
        <f>4.23*1.06</f>
        <v>4.4838000000000005</v>
      </c>
      <c r="E15" s="17">
        <f>1.98*1.06</f>
        <v>2.0988000000000002</v>
      </c>
      <c r="F15" s="17">
        <f>0.21*1.06</f>
        <v>0.22259999999999999</v>
      </c>
      <c r="G15" s="17">
        <f>1.01*1.06</f>
        <v>1.0706</v>
      </c>
      <c r="H15" s="17">
        <v>0</v>
      </c>
      <c r="I15" s="17">
        <f>1.11*1.06</f>
        <v>1.1766000000000001</v>
      </c>
      <c r="J15" s="17">
        <f t="shared" ref="J15:J22" si="0">0.96*1.06</f>
        <v>1.0176000000000001</v>
      </c>
      <c r="K15" s="17">
        <f t="shared" ref="K15:K22" si="1">1.36*1.06</f>
        <v>1.4416000000000002</v>
      </c>
      <c r="L15" s="17">
        <f>3.65*1.06</f>
        <v>3.8690000000000002</v>
      </c>
      <c r="M15" s="17">
        <f>2.88*1.06</f>
        <v>3.0528</v>
      </c>
    </row>
    <row r="16" spans="1:13" ht="38.25">
      <c r="A16" s="10">
        <v>3</v>
      </c>
      <c r="B16" s="10" t="s">
        <v>64</v>
      </c>
      <c r="C16" s="16">
        <f t="shared" ref="C16:C34" si="2">SUM(D16:M16)</f>
        <v>17.543000000000003</v>
      </c>
      <c r="D16" s="17">
        <f>2.23*1.06</f>
        <v>2.3637999999999999</v>
      </c>
      <c r="E16" s="17">
        <f>2.65*1.06</f>
        <v>2.8090000000000002</v>
      </c>
      <c r="F16" s="17">
        <f>1.11*1.06</f>
        <v>1.1766000000000001</v>
      </c>
      <c r="G16" s="17">
        <f>0.9*1.06</f>
        <v>0.95400000000000007</v>
      </c>
      <c r="H16" s="17">
        <v>0</v>
      </c>
      <c r="I16" s="17">
        <f>1.29*1.06</f>
        <v>1.3674000000000002</v>
      </c>
      <c r="J16" s="17">
        <f t="shared" si="0"/>
        <v>1.0176000000000001</v>
      </c>
      <c r="K16" s="17">
        <f t="shared" si="1"/>
        <v>1.4416000000000002</v>
      </c>
      <c r="L16" s="17">
        <f>3.71*1.06</f>
        <v>3.9326000000000003</v>
      </c>
      <c r="M16" s="17">
        <f>2.34*1.06</f>
        <v>2.4803999999999999</v>
      </c>
    </row>
    <row r="17" spans="1:13" ht="38.25">
      <c r="A17" s="10">
        <v>4</v>
      </c>
      <c r="B17" s="10" t="s">
        <v>46</v>
      </c>
      <c r="C17" s="16">
        <f t="shared" si="2"/>
        <v>14.002600000000001</v>
      </c>
      <c r="D17" s="17">
        <v>0</v>
      </c>
      <c r="E17" s="17">
        <f>0.04*1.06</f>
        <v>4.24E-2</v>
      </c>
      <c r="F17" s="17">
        <f>0.42*1.06</f>
        <v>0.44519999999999998</v>
      </c>
      <c r="G17" s="17">
        <f>1.81*1.06</f>
        <v>1.9186000000000001</v>
      </c>
      <c r="H17" s="17">
        <v>0</v>
      </c>
      <c r="I17" s="17">
        <f>1.25*1.06</f>
        <v>1.3250000000000002</v>
      </c>
      <c r="J17" s="17">
        <f t="shared" si="0"/>
        <v>1.0176000000000001</v>
      </c>
      <c r="K17" s="17">
        <f t="shared" si="1"/>
        <v>1.4416000000000002</v>
      </c>
      <c r="L17" s="17">
        <f>5.96*1.06</f>
        <v>6.3176000000000005</v>
      </c>
      <c r="M17" s="17">
        <f>1.41*1.06</f>
        <v>1.4945999999999999</v>
      </c>
    </row>
    <row r="18" spans="1:13" ht="51">
      <c r="A18" s="10">
        <v>5</v>
      </c>
      <c r="B18" s="10" t="s">
        <v>47</v>
      </c>
      <c r="C18" s="16">
        <f t="shared" si="2"/>
        <v>20.140000000000004</v>
      </c>
      <c r="D18" s="17">
        <f>2.07*1.06</f>
        <v>2.1941999999999999</v>
      </c>
      <c r="E18" s="17">
        <f>2.67*1.06</f>
        <v>2.8302</v>
      </c>
      <c r="F18" s="17">
        <f>0.71*1.06</f>
        <v>0.75260000000000005</v>
      </c>
      <c r="G18" s="17">
        <f>2.7*1.06</f>
        <v>2.8620000000000005</v>
      </c>
      <c r="H18" s="17">
        <v>0</v>
      </c>
      <c r="I18" s="17">
        <f>1.77*1.06</f>
        <v>1.8762000000000001</v>
      </c>
      <c r="J18" s="17">
        <f t="shared" si="0"/>
        <v>1.0176000000000001</v>
      </c>
      <c r="K18" s="17">
        <f t="shared" si="1"/>
        <v>1.4416000000000002</v>
      </c>
      <c r="L18" s="17">
        <f>2.19*1.06</f>
        <v>2.3214000000000001</v>
      </c>
      <c r="M18" s="17">
        <f>4.57*1.06</f>
        <v>4.8442000000000007</v>
      </c>
    </row>
    <row r="19" spans="1:13" ht="51">
      <c r="A19" s="10">
        <v>6</v>
      </c>
      <c r="B19" s="23" t="s">
        <v>219</v>
      </c>
      <c r="C19" s="16">
        <f t="shared" si="2"/>
        <v>6.8688000000000002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f t="shared" si="0"/>
        <v>1.0176000000000001</v>
      </c>
      <c r="K19" s="17">
        <f t="shared" si="1"/>
        <v>1.4416000000000002</v>
      </c>
      <c r="L19" s="17">
        <v>0</v>
      </c>
      <c r="M19" s="17">
        <f>4.16*1.06</f>
        <v>4.4096000000000002</v>
      </c>
    </row>
    <row r="20" spans="1:13" ht="38.25">
      <c r="A20" s="10">
        <v>7</v>
      </c>
      <c r="B20" s="10" t="s">
        <v>48</v>
      </c>
      <c r="C20" s="16">
        <f t="shared" si="2"/>
        <v>5.8087999999999997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f t="shared" si="0"/>
        <v>1.0176000000000001</v>
      </c>
      <c r="K20" s="17">
        <f t="shared" si="1"/>
        <v>1.4416000000000002</v>
      </c>
      <c r="L20" s="17">
        <v>0</v>
      </c>
      <c r="M20" s="17">
        <f>3.16*1.06</f>
        <v>3.3496000000000001</v>
      </c>
    </row>
    <row r="21" spans="1:13" ht="51">
      <c r="A21" s="10">
        <v>8</v>
      </c>
      <c r="B21" s="10" t="s">
        <v>49</v>
      </c>
      <c r="C21" s="16">
        <f t="shared" si="2"/>
        <v>21.189399999999999</v>
      </c>
      <c r="D21" s="17">
        <f>6.75*1.06</f>
        <v>7.1550000000000002</v>
      </c>
      <c r="E21" s="17">
        <f>1.69*1.06</f>
        <v>1.7914000000000001</v>
      </c>
      <c r="F21" s="17">
        <f>0.32*1.06</f>
        <v>0.3392</v>
      </c>
      <c r="G21" s="17">
        <f>1.12*1.06</f>
        <v>1.1872000000000003</v>
      </c>
      <c r="H21" s="17">
        <v>0</v>
      </c>
      <c r="I21" s="17">
        <f>1.59*1.06</f>
        <v>1.6854000000000002</v>
      </c>
      <c r="J21" s="17">
        <f t="shared" si="0"/>
        <v>1.0176000000000001</v>
      </c>
      <c r="K21" s="17">
        <f t="shared" si="1"/>
        <v>1.4416000000000002</v>
      </c>
      <c r="L21" s="17">
        <f>3.92*1.06</f>
        <v>4.1551999999999998</v>
      </c>
      <c r="M21" s="17">
        <f>2.28*1.06</f>
        <v>2.4167999999999998</v>
      </c>
    </row>
    <row r="22" spans="1:13" ht="63.75">
      <c r="A22" s="10">
        <v>9</v>
      </c>
      <c r="B22" s="20" t="s">
        <v>50</v>
      </c>
      <c r="C22" s="16">
        <f t="shared" si="2"/>
        <v>44.997</v>
      </c>
      <c r="D22" s="17">
        <f>18.93*1.06</f>
        <v>20.065799999999999</v>
      </c>
      <c r="E22" s="17">
        <f>2.2*1.06</f>
        <v>2.3320000000000003</v>
      </c>
      <c r="F22" s="17">
        <f>0.35*1.06</f>
        <v>0.371</v>
      </c>
      <c r="G22" s="17">
        <f>1.25*1.06</f>
        <v>1.3250000000000002</v>
      </c>
      <c r="H22" s="17">
        <v>0</v>
      </c>
      <c r="I22" s="17">
        <f>1.89*1.06</f>
        <v>2.0034000000000001</v>
      </c>
      <c r="J22" s="17">
        <f t="shared" si="0"/>
        <v>1.0176000000000001</v>
      </c>
      <c r="K22" s="17">
        <f t="shared" si="1"/>
        <v>1.4416000000000002</v>
      </c>
      <c r="L22" s="17">
        <f>11.38*1.06</f>
        <v>12.062800000000001</v>
      </c>
      <c r="M22" s="17">
        <f>4.13*1.06</f>
        <v>4.3777999999999997</v>
      </c>
    </row>
    <row r="23" spans="1:13">
      <c r="A23" s="36" t="s">
        <v>177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4" spans="1:13" ht="38.25">
      <c r="A24" s="10">
        <v>10</v>
      </c>
      <c r="B24" s="10" t="s">
        <v>45</v>
      </c>
      <c r="C24" s="16">
        <f t="shared" si="2"/>
        <v>17.7974</v>
      </c>
      <c r="D24" s="17">
        <f>1.96*1.06</f>
        <v>2.0775999999999999</v>
      </c>
      <c r="E24" s="17">
        <f>1.86*1.06</f>
        <v>1.9716000000000002</v>
      </c>
      <c r="F24" s="17">
        <f>0.25*1.06</f>
        <v>0.26500000000000001</v>
      </c>
      <c r="G24" s="17">
        <f>1.28*1.06</f>
        <v>1.3568</v>
      </c>
      <c r="H24" s="17">
        <v>0</v>
      </c>
      <c r="I24" s="17">
        <f>1.19*1.06</f>
        <v>1.2614000000000001</v>
      </c>
      <c r="J24" s="17">
        <f>0.96*1.06</f>
        <v>1.0176000000000001</v>
      </c>
      <c r="K24" s="17">
        <f>1.44*1.06</f>
        <v>1.5264</v>
      </c>
      <c r="L24" s="17">
        <f>4.7*1.06</f>
        <v>4.9820000000000002</v>
      </c>
      <c r="M24" s="17">
        <f>3.15*1.06</f>
        <v>3.339</v>
      </c>
    </row>
    <row r="25" spans="1:13" ht="38.25">
      <c r="A25" s="10">
        <v>11</v>
      </c>
      <c r="B25" s="10" t="s">
        <v>51</v>
      </c>
      <c r="C25" s="16">
        <f t="shared" si="2"/>
        <v>17.150800000000004</v>
      </c>
      <c r="D25" s="17">
        <f>1.61*1.06</f>
        <v>1.7066000000000001</v>
      </c>
      <c r="E25" s="17">
        <f>1.64*1.06</f>
        <v>1.7383999999999999</v>
      </c>
      <c r="F25" s="17">
        <f>0.25*1.06</f>
        <v>0.26500000000000001</v>
      </c>
      <c r="G25" s="17">
        <f>1.37*1.06</f>
        <v>1.4522000000000002</v>
      </c>
      <c r="H25" s="17">
        <v>0</v>
      </c>
      <c r="I25" s="17">
        <f>1.43*1.06</f>
        <v>1.5158</v>
      </c>
      <c r="J25" s="17">
        <f t="shared" ref="J25:J33" si="3">0.96*1.06</f>
        <v>1.0176000000000001</v>
      </c>
      <c r="K25" s="17">
        <f t="shared" ref="K25:K34" si="4">1.44*1.06</f>
        <v>1.5264</v>
      </c>
      <c r="L25" s="17">
        <f>4.9*1.06</f>
        <v>5.1940000000000008</v>
      </c>
      <c r="M25" s="17">
        <f>2.58*1.06</f>
        <v>2.7348000000000003</v>
      </c>
    </row>
    <row r="26" spans="1:13" ht="25.5">
      <c r="A26" s="10">
        <v>12</v>
      </c>
      <c r="B26" s="10" t="s">
        <v>52</v>
      </c>
      <c r="C26" s="16">
        <f t="shared" si="2"/>
        <v>17.277999999999999</v>
      </c>
      <c r="D26" s="17">
        <f>1.72*1.06</f>
        <v>1.8232000000000002</v>
      </c>
      <c r="E26" s="17">
        <f>2.21*1.06</f>
        <v>2.3426</v>
      </c>
      <c r="F26" s="17">
        <f>0.4*1.06</f>
        <v>0.42400000000000004</v>
      </c>
      <c r="G26" s="17">
        <f>1.05*1.06</f>
        <v>1.1130000000000002</v>
      </c>
      <c r="H26" s="17">
        <v>0</v>
      </c>
      <c r="I26" s="17">
        <f>1.1*1.06</f>
        <v>1.1660000000000001</v>
      </c>
      <c r="J26" s="17">
        <f t="shared" si="3"/>
        <v>1.0176000000000001</v>
      </c>
      <c r="K26" s="17">
        <f t="shared" si="4"/>
        <v>1.5264</v>
      </c>
      <c r="L26" s="17">
        <f>4.05*1.06</f>
        <v>4.2930000000000001</v>
      </c>
      <c r="M26" s="17">
        <f>3.37*1.06</f>
        <v>3.5722000000000005</v>
      </c>
    </row>
    <row r="27" spans="1:13" ht="38.25">
      <c r="A27" s="10">
        <v>13</v>
      </c>
      <c r="B27" s="20" t="s">
        <v>53</v>
      </c>
      <c r="C27" s="16">
        <f t="shared" si="2"/>
        <v>20.415600000000001</v>
      </c>
      <c r="D27" s="17">
        <f>2.68*1.06</f>
        <v>2.8408000000000002</v>
      </c>
      <c r="E27" s="17">
        <f>2.94*1.06</f>
        <v>3.1164000000000001</v>
      </c>
      <c r="F27" s="17">
        <f>0.25*1.06</f>
        <v>0.26500000000000001</v>
      </c>
      <c r="G27" s="17">
        <f>1.11*1.06</f>
        <v>1.1766000000000001</v>
      </c>
      <c r="H27" s="17">
        <v>0</v>
      </c>
      <c r="I27" s="17">
        <f>2.2*1.06</f>
        <v>2.3320000000000003</v>
      </c>
      <c r="J27" s="17">
        <f t="shared" si="3"/>
        <v>1.0176000000000001</v>
      </c>
      <c r="K27" s="17">
        <f t="shared" si="4"/>
        <v>1.5264</v>
      </c>
      <c r="L27" s="17">
        <f>1.72*1.06</f>
        <v>1.8232000000000002</v>
      </c>
      <c r="M27" s="17">
        <f>5.96*1.06</f>
        <v>6.3176000000000005</v>
      </c>
    </row>
    <row r="28" spans="1:13" ht="25.5">
      <c r="A28" s="10">
        <v>14</v>
      </c>
      <c r="B28" s="10" t="s">
        <v>54</v>
      </c>
      <c r="C28" s="16">
        <f t="shared" si="2"/>
        <v>16.2498</v>
      </c>
      <c r="D28" s="17">
        <v>0</v>
      </c>
      <c r="E28" s="17">
        <f>2.03*1.06</f>
        <v>2.1517999999999997</v>
      </c>
      <c r="F28" s="17">
        <f>0.74*1.06</f>
        <v>0.78439999999999999</v>
      </c>
      <c r="G28" s="17">
        <f>1.81*1.06</f>
        <v>1.9186000000000001</v>
      </c>
      <c r="H28" s="17">
        <v>0</v>
      </c>
      <c r="I28" s="17">
        <f>1.18*1.06</f>
        <v>1.2507999999999999</v>
      </c>
      <c r="J28" s="17">
        <f t="shared" si="3"/>
        <v>1.0176000000000001</v>
      </c>
      <c r="K28" s="17">
        <f t="shared" si="4"/>
        <v>1.5264</v>
      </c>
      <c r="L28" s="17">
        <f>5.54*1.06</f>
        <v>5.8724000000000007</v>
      </c>
      <c r="M28" s="17">
        <f>1.63*1.06</f>
        <v>1.7278</v>
      </c>
    </row>
    <row r="29" spans="1:13" ht="38.25" hidden="1">
      <c r="A29" s="10">
        <v>15</v>
      </c>
      <c r="B29" s="10" t="s">
        <v>55</v>
      </c>
      <c r="C29" s="16">
        <f t="shared" si="2"/>
        <v>14.426600000000002</v>
      </c>
      <c r="D29" s="17">
        <v>0</v>
      </c>
      <c r="E29" s="17">
        <f>0.31*1.06</f>
        <v>0.3286</v>
      </c>
      <c r="F29" s="17">
        <f>0.53*1.06</f>
        <v>0.56180000000000008</v>
      </c>
      <c r="G29" s="17">
        <f>1.4*1.06</f>
        <v>1.484</v>
      </c>
      <c r="H29" s="17">
        <v>0</v>
      </c>
      <c r="I29" s="17">
        <f>2.94*1.06</f>
        <v>3.1164000000000001</v>
      </c>
      <c r="J29" s="17">
        <f t="shared" si="3"/>
        <v>1.0176000000000001</v>
      </c>
      <c r="K29" s="17">
        <f t="shared" si="4"/>
        <v>1.5264</v>
      </c>
      <c r="L29" s="17">
        <f>5.02*1.06</f>
        <v>5.3212000000000002</v>
      </c>
      <c r="M29" s="17">
        <f>1.01*1.06</f>
        <v>1.0706</v>
      </c>
    </row>
    <row r="30" spans="1:13" ht="51">
      <c r="A30" s="10">
        <v>15</v>
      </c>
      <c r="B30" s="20" t="s">
        <v>56</v>
      </c>
      <c r="C30" s="16">
        <f t="shared" si="2"/>
        <v>20.765400000000003</v>
      </c>
      <c r="D30" s="17">
        <f>3.79*1.06</f>
        <v>4.0174000000000003</v>
      </c>
      <c r="E30" s="17">
        <f>1.26*1.06</f>
        <v>1.3356000000000001</v>
      </c>
      <c r="F30" s="17">
        <v>0</v>
      </c>
      <c r="G30" s="17">
        <f>1.14*1.06</f>
        <v>1.2083999999999999</v>
      </c>
      <c r="H30" s="17">
        <v>0</v>
      </c>
      <c r="I30" s="17">
        <f>2.23*1.06</f>
        <v>2.3637999999999999</v>
      </c>
      <c r="J30" s="17">
        <f t="shared" si="3"/>
        <v>1.0176000000000001</v>
      </c>
      <c r="K30" s="17">
        <f t="shared" si="4"/>
        <v>1.5264</v>
      </c>
      <c r="L30" s="17">
        <f>5.66*1.06</f>
        <v>5.9996</v>
      </c>
      <c r="M30" s="17">
        <f>3.11*1.06</f>
        <v>3.2966000000000002</v>
      </c>
    </row>
    <row r="31" spans="1:13" ht="51">
      <c r="A31" s="10">
        <v>16</v>
      </c>
      <c r="B31" s="10" t="s">
        <v>57</v>
      </c>
      <c r="C31" s="16">
        <f t="shared" si="2"/>
        <v>49.713999999999999</v>
      </c>
      <c r="D31" s="17">
        <f>15.47*1.06</f>
        <v>16.398200000000003</v>
      </c>
      <c r="E31" s="17">
        <f>1.86*1.06</f>
        <v>1.9716000000000002</v>
      </c>
      <c r="F31" s="17">
        <f>0.26*1.06</f>
        <v>0.27560000000000001</v>
      </c>
      <c r="G31" s="17">
        <f>1.43*1.06</f>
        <v>1.5158</v>
      </c>
      <c r="H31" s="17">
        <v>0</v>
      </c>
      <c r="I31" s="17">
        <f>1.46*1.06</f>
        <v>1.5476000000000001</v>
      </c>
      <c r="J31" s="17">
        <f t="shared" si="3"/>
        <v>1.0176000000000001</v>
      </c>
      <c r="K31" s="17">
        <f t="shared" si="4"/>
        <v>1.5264</v>
      </c>
      <c r="L31" s="17">
        <f>13.79*1.06</f>
        <v>14.6174</v>
      </c>
      <c r="M31" s="17">
        <f>10.23*1.06</f>
        <v>10.843800000000002</v>
      </c>
    </row>
    <row r="32" spans="1:13" ht="51">
      <c r="A32" s="10">
        <v>17</v>
      </c>
      <c r="B32" s="20" t="s">
        <v>58</v>
      </c>
      <c r="C32" s="16">
        <f t="shared" si="2"/>
        <v>119.55740000000002</v>
      </c>
      <c r="D32" s="17">
        <f>74.04*1.06</f>
        <v>78.482400000000013</v>
      </c>
      <c r="E32" s="17">
        <f>1.71*1.06</f>
        <v>1.8126</v>
      </c>
      <c r="F32" s="17">
        <f>4*1.06</f>
        <v>4.24</v>
      </c>
      <c r="G32" s="17">
        <f>4.14*1.06</f>
        <v>4.3883999999999999</v>
      </c>
      <c r="H32" s="17">
        <v>0</v>
      </c>
      <c r="I32" s="17">
        <f>3.17*1.06</f>
        <v>3.3602000000000003</v>
      </c>
      <c r="J32" s="17">
        <f t="shared" si="3"/>
        <v>1.0176000000000001</v>
      </c>
      <c r="K32" s="17">
        <f t="shared" si="4"/>
        <v>1.5264</v>
      </c>
      <c r="L32" s="17">
        <f>13.51*1.06</f>
        <v>14.320600000000001</v>
      </c>
      <c r="M32" s="17">
        <f>9.82*1.06</f>
        <v>10.4092</v>
      </c>
    </row>
    <row r="33" spans="1:13" ht="51">
      <c r="A33" s="10">
        <v>18</v>
      </c>
      <c r="B33" s="20" t="s">
        <v>59</v>
      </c>
      <c r="C33" s="16">
        <f>SUM(D33:M33)</f>
        <v>16.2498</v>
      </c>
      <c r="D33" s="17">
        <v>0</v>
      </c>
      <c r="E33" s="17">
        <f>2.03*1.06</f>
        <v>2.1517999999999997</v>
      </c>
      <c r="F33" s="17">
        <f>0.74*1.06</f>
        <v>0.78439999999999999</v>
      </c>
      <c r="G33" s="17">
        <f>1.81*1.06</f>
        <v>1.9186000000000001</v>
      </c>
      <c r="H33" s="17">
        <v>0</v>
      </c>
      <c r="I33" s="17">
        <f>1.18*1.06</f>
        <v>1.2507999999999999</v>
      </c>
      <c r="J33" s="17">
        <f t="shared" si="3"/>
        <v>1.0176000000000001</v>
      </c>
      <c r="K33" s="17">
        <f t="shared" si="4"/>
        <v>1.5264</v>
      </c>
      <c r="L33" s="17">
        <f>5.54*1.06</f>
        <v>5.8724000000000007</v>
      </c>
      <c r="M33" s="17">
        <f>1.63*1.06</f>
        <v>1.7278</v>
      </c>
    </row>
    <row r="34" spans="1:13">
      <c r="A34" s="10">
        <v>19</v>
      </c>
      <c r="B34" s="10" t="s">
        <v>60</v>
      </c>
      <c r="C34" s="16">
        <f t="shared" si="2"/>
        <v>1.5264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f t="shared" si="4"/>
        <v>1.5264</v>
      </c>
      <c r="L34" s="17">
        <v>0</v>
      </c>
      <c r="M34" s="17">
        <v>0</v>
      </c>
    </row>
    <row r="35" spans="1:13">
      <c r="A35" s="36" t="s">
        <v>213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 ht="25.5">
      <c r="A36" s="10">
        <v>20</v>
      </c>
      <c r="B36" s="10" t="s">
        <v>61</v>
      </c>
      <c r="C36" s="16">
        <f>SUM(D36:M36)</f>
        <v>58.830000000000005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f>40.24*1.06</f>
        <v>42.654400000000003</v>
      </c>
      <c r="J36" s="17">
        <f>0.39*1.06</f>
        <v>0.41340000000000005</v>
      </c>
      <c r="K36" s="17">
        <v>0</v>
      </c>
      <c r="L36" s="17">
        <f>12.79*1.06</f>
        <v>13.557399999999999</v>
      </c>
      <c r="M36" s="17">
        <f>2.08*1.06</f>
        <v>2.2048000000000001</v>
      </c>
    </row>
    <row r="37" spans="1:13" ht="25.5">
      <c r="A37" s="10">
        <v>21</v>
      </c>
      <c r="B37" s="10" t="s">
        <v>62</v>
      </c>
      <c r="C37" s="16">
        <f>SUM(D37:M37)</f>
        <v>8.2574000000000005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f>5.61*1.06</f>
        <v>5.946600000000001</v>
      </c>
      <c r="M37" s="17">
        <f>(1.15+1.03)*1.06</f>
        <v>2.3108</v>
      </c>
    </row>
  </sheetData>
  <mergeCells count="18">
    <mergeCell ref="A8:M8"/>
    <mergeCell ref="K10:K11"/>
    <mergeCell ref="J1:M1"/>
    <mergeCell ref="J2:M2"/>
    <mergeCell ref="A5:M5"/>
    <mergeCell ref="A6:M6"/>
    <mergeCell ref="A7:M7"/>
    <mergeCell ref="L10:L11"/>
    <mergeCell ref="M10:M11"/>
    <mergeCell ref="J3:M3"/>
    <mergeCell ref="A13:M13"/>
    <mergeCell ref="A23:M23"/>
    <mergeCell ref="A35:M35"/>
    <mergeCell ref="A10:A11"/>
    <mergeCell ref="B10:B11"/>
    <mergeCell ref="C10:C11"/>
    <mergeCell ref="D10:F10"/>
    <mergeCell ref="G10:J10"/>
  </mergeCells>
  <pageMargins left="0.31496062992125984" right="0.31496062992125984" top="0.74803149606299213" bottom="0.3" header="0.31496062992125984" footer="0.31496062992125984"/>
  <pageSetup paperSize="9" orientation="landscape" horizontalDpi="180" verticalDpi="180" r:id="rId1"/>
  <rowBreaks count="1" manualBreakCount="1">
    <brk id="22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P37"/>
  <sheetViews>
    <sheetView zoomScaleNormal="100" workbookViewId="0">
      <selection activeCell="J3" sqref="J3:M3"/>
    </sheetView>
  </sheetViews>
  <sheetFormatPr defaultRowHeight="12.75"/>
  <cols>
    <col min="1" max="1" width="5.85546875" style="8" customWidth="1"/>
    <col min="2" max="2" width="25.42578125" style="8" customWidth="1"/>
    <col min="3" max="3" width="9.140625" style="8"/>
    <col min="4" max="4" width="10.28515625" style="8" customWidth="1"/>
    <col min="5" max="5" width="14.5703125" style="8" customWidth="1"/>
    <col min="6" max="6" width="11" style="8" customWidth="1"/>
    <col min="7" max="7" width="8.7109375" style="8" customWidth="1"/>
    <col min="8" max="16384" width="9.140625" style="8"/>
  </cols>
  <sheetData>
    <row r="1" spans="1:16" ht="18.75" customHeight="1">
      <c r="J1" s="42" t="s">
        <v>27</v>
      </c>
      <c r="K1" s="42"/>
      <c r="L1" s="42"/>
      <c r="M1" s="42"/>
    </row>
    <row r="2" spans="1:16" ht="14.25" customHeight="1">
      <c r="J2" s="42" t="s">
        <v>234</v>
      </c>
      <c r="K2" s="42"/>
      <c r="L2" s="42"/>
      <c r="M2" s="42"/>
    </row>
    <row r="3" spans="1:16" ht="14.25" customHeight="1">
      <c r="J3" s="42" t="s">
        <v>233</v>
      </c>
      <c r="K3" s="42"/>
      <c r="L3" s="42"/>
      <c r="M3" s="42"/>
    </row>
    <row r="4" spans="1:16" ht="18.75" customHeight="1">
      <c r="J4" s="12"/>
      <c r="K4" s="12"/>
      <c r="L4" s="12"/>
      <c r="M4" s="12"/>
    </row>
    <row r="5" spans="1:16" ht="57" customHeight="1">
      <c r="A5" s="43" t="s">
        <v>221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6">
      <c r="A6" s="43" t="s">
        <v>28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6">
      <c r="A7" s="40" t="s">
        <v>29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6">
      <c r="A8" s="40" t="s">
        <v>67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6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6" ht="63.75" customHeight="1">
      <c r="A10" s="36" t="s">
        <v>3</v>
      </c>
      <c r="B10" s="36" t="s">
        <v>30</v>
      </c>
      <c r="C10" s="38" t="s">
        <v>31</v>
      </c>
      <c r="D10" s="36" t="s">
        <v>32</v>
      </c>
      <c r="E10" s="36"/>
      <c r="F10" s="36"/>
      <c r="G10" s="36" t="s">
        <v>33</v>
      </c>
      <c r="H10" s="36"/>
      <c r="I10" s="36"/>
      <c r="J10" s="36"/>
      <c r="K10" s="41" t="s">
        <v>34</v>
      </c>
      <c r="L10" s="41" t="s">
        <v>35</v>
      </c>
      <c r="M10" s="41" t="s">
        <v>36</v>
      </c>
    </row>
    <row r="11" spans="1:16" ht="150" customHeight="1">
      <c r="A11" s="36"/>
      <c r="B11" s="36"/>
      <c r="C11" s="39"/>
      <c r="D11" s="9" t="s">
        <v>37</v>
      </c>
      <c r="E11" s="9" t="s">
        <v>38</v>
      </c>
      <c r="F11" s="9" t="s">
        <v>39</v>
      </c>
      <c r="G11" s="9" t="s">
        <v>40</v>
      </c>
      <c r="H11" s="9" t="s">
        <v>41</v>
      </c>
      <c r="I11" s="9" t="s">
        <v>42</v>
      </c>
      <c r="J11" s="9" t="s">
        <v>43</v>
      </c>
      <c r="K11" s="41"/>
      <c r="L11" s="41"/>
      <c r="M11" s="41"/>
    </row>
    <row r="12" spans="1:16" s="15" customFormat="1" ht="14.25" customHeight="1">
      <c r="A12" s="13">
        <v>1</v>
      </c>
      <c r="B12" s="13">
        <v>2</v>
      </c>
      <c r="C12" s="14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</row>
    <row r="13" spans="1:16">
      <c r="A13" s="36" t="s">
        <v>69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</row>
    <row r="14" spans="1:16" ht="45" customHeight="1">
      <c r="A14" s="10">
        <v>1</v>
      </c>
      <c r="B14" s="10" t="s">
        <v>44</v>
      </c>
      <c r="C14" s="16">
        <f>SUM(D14:M14)</f>
        <v>25.441271999999998</v>
      </c>
      <c r="D14" s="17">
        <f>Прил№2!D14*1.18</f>
        <v>5.0907560000000007</v>
      </c>
      <c r="E14" s="17">
        <f>Прил№2!E14*1.18</f>
        <v>1.6260400000000002</v>
      </c>
      <c r="F14" s="17">
        <f>Прил№2!F14*1.18</f>
        <v>0.17511200000000002</v>
      </c>
      <c r="G14" s="17">
        <f>Прил№2!G14*1.18</f>
        <v>0.93810000000000004</v>
      </c>
      <c r="H14" s="17">
        <f>Прил№2!H14*1.18</f>
        <v>6.2039679999999997</v>
      </c>
      <c r="I14" s="17">
        <f>Прил№2!I14*1.18</f>
        <v>1.5009599999999998</v>
      </c>
      <c r="J14" s="17">
        <f>Прил№2!J14*1.18</f>
        <v>1.2007680000000001</v>
      </c>
      <c r="K14" s="17">
        <f>Прил№2!K14*1.18</f>
        <v>1.7010880000000002</v>
      </c>
      <c r="L14" s="17">
        <f>Прил№2!L14*1.18</f>
        <v>3.4146839999999998</v>
      </c>
      <c r="M14" s="17">
        <f>Прил№2!M14*1.18</f>
        <v>3.5897960000000002</v>
      </c>
      <c r="N14" s="18"/>
      <c r="O14" s="18"/>
      <c r="P14" s="18"/>
    </row>
    <row r="15" spans="1:16" ht="51" customHeight="1">
      <c r="A15" s="10">
        <v>2</v>
      </c>
      <c r="B15" s="10" t="s">
        <v>63</v>
      </c>
      <c r="C15" s="16">
        <f t="shared" ref="C15:C37" si="0">SUM(D15:M15)</f>
        <v>21.751411999999998</v>
      </c>
      <c r="D15" s="17">
        <f>Прил№2!D15*1.18</f>
        <v>5.2908840000000001</v>
      </c>
      <c r="E15" s="17">
        <f>Прил№2!E15*1.18</f>
        <v>2.4765840000000003</v>
      </c>
      <c r="F15" s="17">
        <f>Прил№2!F15*1.18</f>
        <v>0.26266799999999996</v>
      </c>
      <c r="G15" s="17">
        <f>Прил№2!G15*1.18</f>
        <v>1.2633079999999999</v>
      </c>
      <c r="H15" s="17">
        <f>Прил№2!H15*1.18</f>
        <v>0</v>
      </c>
      <c r="I15" s="17">
        <f>Прил№2!I15*1.18</f>
        <v>1.388388</v>
      </c>
      <c r="J15" s="17">
        <f>Прил№2!J15*1.18</f>
        <v>1.2007680000000001</v>
      </c>
      <c r="K15" s="17">
        <f>Прил№2!K15*1.18</f>
        <v>1.7010880000000002</v>
      </c>
      <c r="L15" s="17">
        <f>Прил№2!L15*1.18</f>
        <v>4.5654199999999996</v>
      </c>
      <c r="M15" s="17">
        <f>Прил№2!M15*1.18</f>
        <v>3.6023039999999997</v>
      </c>
      <c r="N15" s="18"/>
      <c r="O15" s="18"/>
      <c r="P15" s="18"/>
    </row>
    <row r="16" spans="1:16" ht="51" customHeight="1">
      <c r="A16" s="10">
        <v>3</v>
      </c>
      <c r="B16" s="10" t="s">
        <v>64</v>
      </c>
      <c r="C16" s="16">
        <f t="shared" si="0"/>
        <v>20.70074</v>
      </c>
      <c r="D16" s="17">
        <f>Прил№2!D16*1.18</f>
        <v>2.7892839999999999</v>
      </c>
      <c r="E16" s="17">
        <f>Прил№2!E16*1.18</f>
        <v>3.3146200000000001</v>
      </c>
      <c r="F16" s="17">
        <f>Прил№2!F16*1.18</f>
        <v>1.388388</v>
      </c>
      <c r="G16" s="17">
        <f>Прил№2!G16*1.18</f>
        <v>1.1257200000000001</v>
      </c>
      <c r="H16" s="17">
        <f>Прил№2!H16*1.18</f>
        <v>0</v>
      </c>
      <c r="I16" s="17">
        <f>Прил№2!I16*1.18</f>
        <v>1.6135320000000002</v>
      </c>
      <c r="J16" s="17">
        <f>Прил№2!J16*1.18</f>
        <v>1.2007680000000001</v>
      </c>
      <c r="K16" s="17">
        <f>Прил№2!K16*1.18</f>
        <v>1.7010880000000002</v>
      </c>
      <c r="L16" s="17">
        <f>Прил№2!L16*1.18</f>
        <v>4.6404680000000003</v>
      </c>
      <c r="M16" s="17">
        <f>Прил№2!M16*1.18</f>
        <v>2.9268719999999999</v>
      </c>
      <c r="N16" s="18"/>
      <c r="O16" s="18"/>
      <c r="P16" s="18"/>
    </row>
    <row r="17" spans="1:16" ht="44.25" customHeight="1">
      <c r="A17" s="10">
        <v>4</v>
      </c>
      <c r="B17" s="10" t="s">
        <v>46</v>
      </c>
      <c r="C17" s="16">
        <f t="shared" si="0"/>
        <v>16.523068000000002</v>
      </c>
      <c r="D17" s="17">
        <f>Прил№2!D17*1.18</f>
        <v>0</v>
      </c>
      <c r="E17" s="17">
        <f>Прил№2!E17*1.18</f>
        <v>5.0032E-2</v>
      </c>
      <c r="F17" s="17">
        <f>Прил№2!F17*1.18</f>
        <v>0.52533599999999991</v>
      </c>
      <c r="G17" s="17">
        <f>Прил№2!G17*1.18</f>
        <v>2.2639480000000001</v>
      </c>
      <c r="H17" s="17">
        <f>Прил№2!H17*1.18</f>
        <v>0</v>
      </c>
      <c r="I17" s="17">
        <f>Прил№2!I17*1.18</f>
        <v>1.5635000000000001</v>
      </c>
      <c r="J17" s="17">
        <f>Прил№2!J17*1.18</f>
        <v>1.2007680000000001</v>
      </c>
      <c r="K17" s="17">
        <f>Прил№2!K17*1.18</f>
        <v>1.7010880000000002</v>
      </c>
      <c r="L17" s="17">
        <f>Прил№2!L17*1.18</f>
        <v>7.4547680000000005</v>
      </c>
      <c r="M17" s="17">
        <f>Прил№2!M17*1.18</f>
        <v>1.7636279999999998</v>
      </c>
      <c r="N17" s="18"/>
      <c r="O17" s="18"/>
      <c r="P17" s="18"/>
    </row>
    <row r="18" spans="1:16" ht="54.75" customHeight="1">
      <c r="A18" s="10">
        <v>5</v>
      </c>
      <c r="B18" s="10" t="s">
        <v>47</v>
      </c>
      <c r="C18" s="16">
        <f t="shared" si="0"/>
        <v>23.7652</v>
      </c>
      <c r="D18" s="17">
        <f>Прил№2!D18*1.18</f>
        <v>2.5891559999999996</v>
      </c>
      <c r="E18" s="17">
        <f>Прил№2!E18*1.18</f>
        <v>3.339636</v>
      </c>
      <c r="F18" s="17">
        <f>Прил№2!F18*1.18</f>
        <v>0.88806799999999997</v>
      </c>
      <c r="G18" s="17">
        <f>Прил№2!G18*1.18</f>
        <v>3.3771600000000004</v>
      </c>
      <c r="H18" s="17">
        <f>Прил№2!H18*1.18</f>
        <v>0</v>
      </c>
      <c r="I18" s="17">
        <f>Прил№2!I18*1.18</f>
        <v>2.2139159999999998</v>
      </c>
      <c r="J18" s="17">
        <f>Прил№2!J18*1.18</f>
        <v>1.2007680000000001</v>
      </c>
      <c r="K18" s="17">
        <f>Прил№2!K18*1.18</f>
        <v>1.7010880000000002</v>
      </c>
      <c r="L18" s="17">
        <f>Прил№2!L18*1.18</f>
        <v>2.739252</v>
      </c>
      <c r="M18" s="17">
        <f>Прил№2!M18*1.18</f>
        <v>5.7161560000000007</v>
      </c>
      <c r="N18" s="18"/>
      <c r="O18" s="18"/>
      <c r="P18" s="18"/>
    </row>
    <row r="19" spans="1:16" ht="51" customHeight="1">
      <c r="A19" s="10">
        <v>6</v>
      </c>
      <c r="B19" s="23" t="s">
        <v>219</v>
      </c>
      <c r="C19" s="16">
        <f t="shared" si="0"/>
        <v>8.1051840000000013</v>
      </c>
      <c r="D19" s="17">
        <f>Прил№2!D19*1.18</f>
        <v>0</v>
      </c>
      <c r="E19" s="17">
        <f>Прил№2!E19*1.18</f>
        <v>0</v>
      </c>
      <c r="F19" s="17">
        <f>Прил№2!F19*1.18</f>
        <v>0</v>
      </c>
      <c r="G19" s="17">
        <f>Прил№2!G19*1.18</f>
        <v>0</v>
      </c>
      <c r="H19" s="17">
        <f>Прил№2!H19*1.18</f>
        <v>0</v>
      </c>
      <c r="I19" s="17">
        <f>Прил№2!I19*1.18</f>
        <v>0</v>
      </c>
      <c r="J19" s="17">
        <f>Прил№2!J19*1.18</f>
        <v>1.2007680000000001</v>
      </c>
      <c r="K19" s="17">
        <f>Прил№2!K19*1.18</f>
        <v>1.7010880000000002</v>
      </c>
      <c r="L19" s="17">
        <f>Прил№2!L19*1.18</f>
        <v>0</v>
      </c>
      <c r="M19" s="17">
        <f>Прил№2!M19*1.18</f>
        <v>5.203328</v>
      </c>
      <c r="N19" s="18"/>
      <c r="O19" s="18"/>
      <c r="P19" s="18"/>
    </row>
    <row r="20" spans="1:16" ht="48.75" customHeight="1">
      <c r="A20" s="10">
        <v>7</v>
      </c>
      <c r="B20" s="10" t="s">
        <v>48</v>
      </c>
      <c r="C20" s="16">
        <f t="shared" si="0"/>
        <v>6.8543840000000005</v>
      </c>
      <c r="D20" s="17">
        <f>Прил№2!D20*1.18</f>
        <v>0</v>
      </c>
      <c r="E20" s="17">
        <f>Прил№2!E20*1.18</f>
        <v>0</v>
      </c>
      <c r="F20" s="17">
        <f>Прил№2!F20*1.18</f>
        <v>0</v>
      </c>
      <c r="G20" s="17">
        <f>Прил№2!G20*1.18</f>
        <v>0</v>
      </c>
      <c r="H20" s="17">
        <f>Прил№2!H20*1.18</f>
        <v>0</v>
      </c>
      <c r="I20" s="17">
        <f>Прил№2!I20*1.18</f>
        <v>0</v>
      </c>
      <c r="J20" s="17">
        <f>Прил№2!J20*1.18</f>
        <v>1.2007680000000001</v>
      </c>
      <c r="K20" s="17">
        <f>Прил№2!K20*1.18</f>
        <v>1.7010880000000002</v>
      </c>
      <c r="L20" s="17">
        <f>Прил№2!L20*1.18</f>
        <v>0</v>
      </c>
      <c r="M20" s="17">
        <f>Прил№2!M20*1.18</f>
        <v>3.952528</v>
      </c>
      <c r="N20" s="18"/>
      <c r="O20" s="18"/>
      <c r="P20" s="18"/>
    </row>
    <row r="21" spans="1:16" ht="55.5" customHeight="1">
      <c r="A21" s="10">
        <v>8</v>
      </c>
      <c r="B21" s="10" t="s">
        <v>49</v>
      </c>
      <c r="C21" s="16">
        <f t="shared" si="0"/>
        <v>25.003492000000001</v>
      </c>
      <c r="D21" s="17">
        <f>Прил№2!D21*1.18</f>
        <v>8.4428999999999998</v>
      </c>
      <c r="E21" s="17">
        <f>Прил№2!E21*1.18</f>
        <v>2.1138520000000001</v>
      </c>
      <c r="F21" s="17">
        <f>Прил№2!F21*1.18</f>
        <v>0.400256</v>
      </c>
      <c r="G21" s="17">
        <f>Прил№2!G21*1.18</f>
        <v>1.4008960000000001</v>
      </c>
      <c r="H21" s="17">
        <f>Прил№2!H21*1.18</f>
        <v>0</v>
      </c>
      <c r="I21" s="17">
        <f>Прил№2!I21*1.18</f>
        <v>1.9887720000000002</v>
      </c>
      <c r="J21" s="17">
        <f>Прил№2!J21*1.18</f>
        <v>1.2007680000000001</v>
      </c>
      <c r="K21" s="17">
        <f>Прил№2!K21*1.18</f>
        <v>1.7010880000000002</v>
      </c>
      <c r="L21" s="17">
        <f>Прил№2!L21*1.18</f>
        <v>4.9031359999999991</v>
      </c>
      <c r="M21" s="17">
        <f>Прил№2!M21*1.18</f>
        <v>2.8518239999999997</v>
      </c>
      <c r="N21" s="18"/>
      <c r="O21" s="18"/>
      <c r="P21" s="18"/>
    </row>
    <row r="22" spans="1:16" ht="72" customHeight="1">
      <c r="A22" s="10">
        <v>9</v>
      </c>
      <c r="B22" s="10" t="s">
        <v>50</v>
      </c>
      <c r="C22" s="16">
        <f t="shared" si="0"/>
        <v>53.09646</v>
      </c>
      <c r="D22" s="17">
        <f>Прил№2!D22*1.18</f>
        <v>23.677643999999997</v>
      </c>
      <c r="E22" s="17">
        <f>Прил№2!E22*1.18</f>
        <v>2.75176</v>
      </c>
      <c r="F22" s="17">
        <f>Прил№2!F22*1.18</f>
        <v>0.43777999999999995</v>
      </c>
      <c r="G22" s="17">
        <f>Прил№2!G22*1.18</f>
        <v>1.5635000000000001</v>
      </c>
      <c r="H22" s="17">
        <f>Прил№2!H22*1.18</f>
        <v>0</v>
      </c>
      <c r="I22" s="17">
        <f>Прил№2!I22*1.18</f>
        <v>2.3640119999999998</v>
      </c>
      <c r="J22" s="17">
        <f>Прил№2!J22*1.18</f>
        <v>1.2007680000000001</v>
      </c>
      <c r="K22" s="17">
        <f>Прил№2!K22*1.18</f>
        <v>1.7010880000000002</v>
      </c>
      <c r="L22" s="17">
        <f>Прил№2!L22*1.18</f>
        <v>14.234104</v>
      </c>
      <c r="M22" s="17">
        <f>Прил№2!M22*1.18</f>
        <v>5.1658039999999996</v>
      </c>
      <c r="N22" s="18"/>
      <c r="O22" s="18"/>
      <c r="P22" s="18"/>
    </row>
    <row r="23" spans="1:16">
      <c r="A23" s="36" t="s">
        <v>177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18"/>
      <c r="O23" s="18"/>
      <c r="P23" s="18"/>
    </row>
    <row r="24" spans="1:16" ht="45" customHeight="1">
      <c r="A24" s="10">
        <v>10</v>
      </c>
      <c r="B24" s="10" t="s">
        <v>45</v>
      </c>
      <c r="C24" s="16">
        <f t="shared" si="0"/>
        <v>21.000931999999999</v>
      </c>
      <c r="D24" s="17">
        <f>Прил№2!D24*1.18</f>
        <v>2.4515679999999995</v>
      </c>
      <c r="E24" s="17">
        <f>Прил№2!E24*1.18</f>
        <v>2.3264880000000003</v>
      </c>
      <c r="F24" s="17">
        <f>Прил№2!F24*1.18</f>
        <v>0.31269999999999998</v>
      </c>
      <c r="G24" s="17">
        <f>Прил№2!G24*1.18</f>
        <v>1.601024</v>
      </c>
      <c r="H24" s="17">
        <f>Прил№2!H24*1.18</f>
        <v>0</v>
      </c>
      <c r="I24" s="17">
        <f>Прил№2!I24*1.18</f>
        <v>1.4884520000000001</v>
      </c>
      <c r="J24" s="17">
        <f>Прил№2!J24*1.18</f>
        <v>1.2007680000000001</v>
      </c>
      <c r="K24" s="17">
        <f>Прил№2!K24*1.18</f>
        <v>1.8011519999999999</v>
      </c>
      <c r="L24" s="17">
        <f>Прил№2!L24*1.18</f>
        <v>5.8787599999999998</v>
      </c>
      <c r="M24" s="17">
        <f>Прил№2!M24*1.18</f>
        <v>3.9400199999999996</v>
      </c>
      <c r="N24" s="18"/>
      <c r="O24" s="18"/>
      <c r="P24" s="18"/>
    </row>
    <row r="25" spans="1:16" ht="48" customHeight="1">
      <c r="A25" s="10">
        <v>11</v>
      </c>
      <c r="B25" s="10" t="s">
        <v>51</v>
      </c>
      <c r="C25" s="16">
        <f t="shared" si="0"/>
        <v>20.237943999999999</v>
      </c>
      <c r="D25" s="17">
        <f>Прил№2!D25*1.18</f>
        <v>2.0137879999999999</v>
      </c>
      <c r="E25" s="17">
        <f>Прил№2!E25*1.18</f>
        <v>2.0513119999999998</v>
      </c>
      <c r="F25" s="17">
        <f>Прил№2!F25*1.18</f>
        <v>0.31269999999999998</v>
      </c>
      <c r="G25" s="17">
        <f>Прил№2!G25*1.18</f>
        <v>1.7135960000000001</v>
      </c>
      <c r="H25" s="17">
        <f>Прил№2!H25*1.18</f>
        <v>0</v>
      </c>
      <c r="I25" s="17">
        <f>Прил№2!I25*1.18</f>
        <v>1.7886439999999999</v>
      </c>
      <c r="J25" s="17">
        <f>Прил№2!J25*1.18</f>
        <v>1.2007680000000001</v>
      </c>
      <c r="K25" s="17">
        <f>Прил№2!K25*1.18</f>
        <v>1.8011519999999999</v>
      </c>
      <c r="L25" s="17">
        <f>Прил№2!L25*1.18</f>
        <v>6.1289200000000008</v>
      </c>
      <c r="M25" s="17">
        <f>Прил№2!M25*1.18</f>
        <v>3.2270640000000004</v>
      </c>
      <c r="N25" s="18"/>
      <c r="O25" s="18"/>
      <c r="P25" s="18"/>
    </row>
    <row r="26" spans="1:16" ht="32.25" customHeight="1">
      <c r="A26" s="10">
        <v>12</v>
      </c>
      <c r="B26" s="10" t="s">
        <v>52</v>
      </c>
      <c r="C26" s="16">
        <f t="shared" si="0"/>
        <v>20.388040000000004</v>
      </c>
      <c r="D26" s="17">
        <f>Прил№2!D26*1.18</f>
        <v>2.151376</v>
      </c>
      <c r="E26" s="17">
        <f>Прил№2!E26*1.18</f>
        <v>2.7642679999999999</v>
      </c>
      <c r="F26" s="17">
        <f>Прил№2!F26*1.18</f>
        <v>0.50031999999999999</v>
      </c>
      <c r="G26" s="17">
        <f>Прил№2!G26*1.18</f>
        <v>1.3133400000000002</v>
      </c>
      <c r="H26" s="17">
        <f>Прил№2!H26*1.18</f>
        <v>0</v>
      </c>
      <c r="I26" s="17">
        <f>Прил№2!I26*1.18</f>
        <v>1.37588</v>
      </c>
      <c r="J26" s="17">
        <f>Прил№2!J26*1.18</f>
        <v>1.2007680000000001</v>
      </c>
      <c r="K26" s="17">
        <f>Прил№2!K26*1.18</f>
        <v>1.8011519999999999</v>
      </c>
      <c r="L26" s="17">
        <f>Прил№2!L26*1.18</f>
        <v>5.0657399999999999</v>
      </c>
      <c r="M26" s="17">
        <f>Прил№2!M26*1.18</f>
        <v>4.2151960000000006</v>
      </c>
      <c r="N26" s="18"/>
      <c r="O26" s="18"/>
      <c r="P26" s="18"/>
    </row>
    <row r="27" spans="1:16" ht="46.5" customHeight="1">
      <c r="A27" s="10">
        <v>13</v>
      </c>
      <c r="B27" s="10" t="s">
        <v>53</v>
      </c>
      <c r="C27" s="16">
        <f t="shared" si="0"/>
        <v>24.090408000000004</v>
      </c>
      <c r="D27" s="17">
        <f>Прил№2!D27*1.18</f>
        <v>3.352144</v>
      </c>
      <c r="E27" s="17">
        <f>Прил№2!E27*1.18</f>
        <v>3.677352</v>
      </c>
      <c r="F27" s="17">
        <f>Прил№2!F27*1.18</f>
        <v>0.31269999999999998</v>
      </c>
      <c r="G27" s="17">
        <f>Прил№2!G27*1.18</f>
        <v>1.388388</v>
      </c>
      <c r="H27" s="17">
        <f>Прил№2!H27*1.18</f>
        <v>0</v>
      </c>
      <c r="I27" s="17">
        <f>Прил№2!I27*1.18</f>
        <v>2.75176</v>
      </c>
      <c r="J27" s="17">
        <f>Прил№2!J27*1.18</f>
        <v>1.2007680000000001</v>
      </c>
      <c r="K27" s="17">
        <f>Прил№2!K27*1.18</f>
        <v>1.8011519999999999</v>
      </c>
      <c r="L27" s="17">
        <f>Прил№2!L27*1.18</f>
        <v>2.151376</v>
      </c>
      <c r="M27" s="17">
        <f>Прил№2!M27*1.18</f>
        <v>7.4547680000000005</v>
      </c>
      <c r="N27" s="18"/>
      <c r="O27" s="18"/>
      <c r="P27" s="18"/>
    </row>
    <row r="28" spans="1:16" ht="28.5" customHeight="1">
      <c r="A28" s="10">
        <v>14</v>
      </c>
      <c r="B28" s="10" t="s">
        <v>54</v>
      </c>
      <c r="C28" s="16">
        <f t="shared" si="0"/>
        <v>19.174764</v>
      </c>
      <c r="D28" s="17">
        <f>Прил№2!D28*1.18</f>
        <v>0</v>
      </c>
      <c r="E28" s="17">
        <f>Прил№2!E28*1.18</f>
        <v>2.5391239999999997</v>
      </c>
      <c r="F28" s="17">
        <f>Прил№2!F28*1.18</f>
        <v>0.92559199999999997</v>
      </c>
      <c r="G28" s="17">
        <f>Прил№2!G28*1.18</f>
        <v>2.2639480000000001</v>
      </c>
      <c r="H28" s="17">
        <f>Прил№2!H28*1.18</f>
        <v>0</v>
      </c>
      <c r="I28" s="17">
        <f>Прил№2!I28*1.18</f>
        <v>1.4759439999999999</v>
      </c>
      <c r="J28" s="17">
        <f>Прил№2!J28*1.18</f>
        <v>1.2007680000000001</v>
      </c>
      <c r="K28" s="17">
        <f>Прил№2!K28*1.18</f>
        <v>1.8011519999999999</v>
      </c>
      <c r="L28" s="17">
        <f>Прил№2!L28*1.18</f>
        <v>6.9294320000000003</v>
      </c>
      <c r="M28" s="17">
        <f>Прил№2!M28*1.18</f>
        <v>2.0388039999999998</v>
      </c>
      <c r="N28" s="18"/>
      <c r="O28" s="18"/>
      <c r="P28" s="18"/>
    </row>
    <row r="29" spans="1:16" ht="52.5" hidden="1" customHeight="1">
      <c r="A29" s="10">
        <v>15</v>
      </c>
      <c r="B29" s="10" t="s">
        <v>55</v>
      </c>
      <c r="C29" s="16">
        <f t="shared" si="0"/>
        <v>17.023387999999997</v>
      </c>
      <c r="D29" s="17">
        <f>Прил№2!D29*1.18</f>
        <v>0</v>
      </c>
      <c r="E29" s="17">
        <f>Прил№2!E29*1.18</f>
        <v>0.38774799999999998</v>
      </c>
      <c r="F29" s="17">
        <f>Прил№2!F29*1.18</f>
        <v>0.66292400000000007</v>
      </c>
      <c r="G29" s="17">
        <f>Прил№2!G29*1.18</f>
        <v>1.7511199999999998</v>
      </c>
      <c r="H29" s="17">
        <f>Прил№2!H29*1.18</f>
        <v>0</v>
      </c>
      <c r="I29" s="17">
        <f>Прил№2!I29*1.18</f>
        <v>3.677352</v>
      </c>
      <c r="J29" s="17">
        <f>Прил№2!J29*1.18</f>
        <v>1.2007680000000001</v>
      </c>
      <c r="K29" s="17">
        <f>Прил№2!K29*1.18</f>
        <v>1.8011519999999999</v>
      </c>
      <c r="L29" s="17">
        <f>Прил№2!L29*1.18</f>
        <v>6.2790159999999995</v>
      </c>
      <c r="M29" s="17">
        <f>Прил№2!M29*1.18</f>
        <v>1.2633079999999999</v>
      </c>
      <c r="N29" s="18"/>
      <c r="O29" s="18"/>
      <c r="P29" s="18"/>
    </row>
    <row r="30" spans="1:16" ht="61.5" customHeight="1">
      <c r="A30" s="10">
        <v>15</v>
      </c>
      <c r="B30" s="10" t="s">
        <v>56</v>
      </c>
      <c r="C30" s="16">
        <f t="shared" si="0"/>
        <v>24.503171999999999</v>
      </c>
      <c r="D30" s="17">
        <f>Прил№2!D30*1.18</f>
        <v>4.740532</v>
      </c>
      <c r="E30" s="17">
        <f>Прил№2!E30*1.18</f>
        <v>1.5760080000000001</v>
      </c>
      <c r="F30" s="17">
        <f>Прил№2!F30*1.18</f>
        <v>0</v>
      </c>
      <c r="G30" s="17">
        <f>Прил№2!G30*1.18</f>
        <v>1.4259119999999998</v>
      </c>
      <c r="H30" s="17">
        <f>Прил№2!H30*1.18</f>
        <v>0</v>
      </c>
      <c r="I30" s="17">
        <f>Прил№2!I30*1.18</f>
        <v>2.7892839999999999</v>
      </c>
      <c r="J30" s="17">
        <f>Прил№2!J30*1.18</f>
        <v>1.2007680000000001</v>
      </c>
      <c r="K30" s="17">
        <f>Прил№2!K30*1.18</f>
        <v>1.8011519999999999</v>
      </c>
      <c r="L30" s="17">
        <f>Прил№2!L30*1.18</f>
        <v>7.0795279999999998</v>
      </c>
      <c r="M30" s="17">
        <f>Прил№2!M30*1.18</f>
        <v>3.8899880000000002</v>
      </c>
      <c r="N30" s="18"/>
      <c r="O30" s="18"/>
      <c r="P30" s="18"/>
    </row>
    <row r="31" spans="1:16" ht="57.75" customHeight="1">
      <c r="A31" s="10">
        <v>16</v>
      </c>
      <c r="B31" s="10" t="s">
        <v>57</v>
      </c>
      <c r="C31" s="16">
        <f t="shared" si="0"/>
        <v>58.662520000000001</v>
      </c>
      <c r="D31" s="17">
        <f>Прил№2!D31*1.18</f>
        <v>19.349876000000002</v>
      </c>
      <c r="E31" s="17">
        <f>Прил№2!E31*1.18</f>
        <v>2.3264880000000003</v>
      </c>
      <c r="F31" s="17">
        <f>Прил№2!F31*1.18</f>
        <v>0.325208</v>
      </c>
      <c r="G31" s="17">
        <f>Прил№2!G31*1.18</f>
        <v>1.7886439999999999</v>
      </c>
      <c r="H31" s="17">
        <f>Прил№2!H31*1.18</f>
        <v>0</v>
      </c>
      <c r="I31" s="17">
        <f>Прил№2!I31*1.18</f>
        <v>1.826168</v>
      </c>
      <c r="J31" s="17">
        <f>Прил№2!J31*1.18</f>
        <v>1.2007680000000001</v>
      </c>
      <c r="K31" s="17">
        <f>Прил№2!K31*1.18</f>
        <v>1.8011519999999999</v>
      </c>
      <c r="L31" s="17">
        <f>Прил№2!L31*1.18</f>
        <v>17.248531999999997</v>
      </c>
      <c r="M31" s="17">
        <f>Прил№2!M31*1.18</f>
        <v>12.795684000000001</v>
      </c>
      <c r="N31" s="18"/>
      <c r="O31" s="18"/>
      <c r="P31" s="18"/>
    </row>
    <row r="32" spans="1:16" ht="58.5" customHeight="1">
      <c r="A32" s="10">
        <v>17</v>
      </c>
      <c r="B32" s="10" t="s">
        <v>58</v>
      </c>
      <c r="C32" s="16">
        <f t="shared" si="0"/>
        <v>141.07773200000003</v>
      </c>
      <c r="D32" s="17">
        <f>Прил№2!D32*1.18</f>
        <v>92.609232000000006</v>
      </c>
      <c r="E32" s="17">
        <f>Прил№2!E32*1.18</f>
        <v>2.138868</v>
      </c>
      <c r="F32" s="17">
        <f>Прил№2!F32*1.18</f>
        <v>5.0031999999999996</v>
      </c>
      <c r="G32" s="17">
        <f>Прил№2!G32*1.18</f>
        <v>5.1783119999999991</v>
      </c>
      <c r="H32" s="17">
        <f>Прил№2!H32*1.18</f>
        <v>0</v>
      </c>
      <c r="I32" s="17">
        <f>Прил№2!I32*1.18</f>
        <v>3.965036</v>
      </c>
      <c r="J32" s="17">
        <f>Прил№2!J32*1.18</f>
        <v>1.2007680000000001</v>
      </c>
      <c r="K32" s="17">
        <f>Прил№2!K32*1.18</f>
        <v>1.8011519999999999</v>
      </c>
      <c r="L32" s="17">
        <f>Прил№2!L32*1.18</f>
        <v>16.898308</v>
      </c>
      <c r="M32" s="17">
        <f>Прил№2!M32*1.18</f>
        <v>12.282855999999999</v>
      </c>
      <c r="N32" s="18"/>
      <c r="O32" s="18"/>
      <c r="P32" s="18"/>
    </row>
    <row r="33" spans="1:16" ht="44.25" customHeight="1">
      <c r="A33" s="10">
        <v>18</v>
      </c>
      <c r="B33" s="10" t="s">
        <v>59</v>
      </c>
      <c r="C33" s="16">
        <f>SUM(D33:M33)</f>
        <v>19.174764</v>
      </c>
      <c r="D33" s="17">
        <f>Прил№2!D33*1.18</f>
        <v>0</v>
      </c>
      <c r="E33" s="17">
        <f>Прил№2!E33*1.18</f>
        <v>2.5391239999999997</v>
      </c>
      <c r="F33" s="17">
        <f>Прил№2!F33*1.18</f>
        <v>0.92559199999999997</v>
      </c>
      <c r="G33" s="17">
        <f>Прил№2!G33*1.18</f>
        <v>2.2639480000000001</v>
      </c>
      <c r="H33" s="17">
        <f>Прил№2!H33*1.18</f>
        <v>0</v>
      </c>
      <c r="I33" s="17">
        <f>Прил№2!I33*1.18</f>
        <v>1.4759439999999999</v>
      </c>
      <c r="J33" s="17">
        <f>Прил№2!J33*1.18</f>
        <v>1.2007680000000001</v>
      </c>
      <c r="K33" s="17">
        <f>Прил№2!K33*1.18</f>
        <v>1.8011519999999999</v>
      </c>
      <c r="L33" s="17">
        <f>Прил№2!L33*1.18</f>
        <v>6.9294320000000003</v>
      </c>
      <c r="M33" s="17">
        <f>Прил№2!M33*1.18</f>
        <v>2.0388039999999998</v>
      </c>
      <c r="N33" s="18"/>
      <c r="O33" s="18"/>
      <c r="P33" s="18"/>
    </row>
    <row r="34" spans="1:16" ht="22.5" customHeight="1">
      <c r="A34" s="10">
        <v>19</v>
      </c>
      <c r="B34" s="10" t="s">
        <v>60</v>
      </c>
      <c r="C34" s="16">
        <f t="shared" si="0"/>
        <v>1.8011519999999999</v>
      </c>
      <c r="D34" s="17">
        <f>Прил№2!D34*1.18</f>
        <v>0</v>
      </c>
      <c r="E34" s="17">
        <f>Прил№2!E34*1.18</f>
        <v>0</v>
      </c>
      <c r="F34" s="17">
        <f>Прил№2!F34*1.18</f>
        <v>0</v>
      </c>
      <c r="G34" s="17">
        <f>Прил№2!G34*1.18</f>
        <v>0</v>
      </c>
      <c r="H34" s="17">
        <f>Прил№2!H34*1.18</f>
        <v>0</v>
      </c>
      <c r="I34" s="17">
        <f>Прил№2!I34*1.18</f>
        <v>0</v>
      </c>
      <c r="J34" s="17">
        <f>Прил№2!J34*1.18</f>
        <v>0</v>
      </c>
      <c r="K34" s="17">
        <f>Прил№2!K34*1.18</f>
        <v>1.8011519999999999</v>
      </c>
      <c r="L34" s="17">
        <f>Прил№2!L34*1.18</f>
        <v>0</v>
      </c>
      <c r="M34" s="17">
        <f>Прил№2!M34*1.18</f>
        <v>0</v>
      </c>
      <c r="N34" s="18"/>
      <c r="O34" s="18"/>
      <c r="P34" s="18"/>
    </row>
    <row r="35" spans="1:16">
      <c r="A35" s="36" t="s">
        <v>213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18"/>
      <c r="O35" s="18"/>
      <c r="P35" s="18"/>
    </row>
    <row r="36" spans="1:16" ht="35.25" customHeight="1">
      <c r="A36" s="10">
        <v>20</v>
      </c>
      <c r="B36" s="10" t="s">
        <v>61</v>
      </c>
      <c r="C36" s="16">
        <f t="shared" si="0"/>
        <v>69.419399999999996</v>
      </c>
      <c r="D36" s="17">
        <f>Прил№2!D36*1.18</f>
        <v>0</v>
      </c>
      <c r="E36" s="17">
        <f>Прил№2!E36*1.18</f>
        <v>0</v>
      </c>
      <c r="F36" s="17">
        <f>Прил№2!F36*1.18</f>
        <v>0</v>
      </c>
      <c r="G36" s="17">
        <f>Прил№2!G36*1.18</f>
        <v>0</v>
      </c>
      <c r="H36" s="17">
        <f>Прил№2!H36*1.18</f>
        <v>0</v>
      </c>
      <c r="I36" s="17">
        <f>Прил№2!I36*1.18</f>
        <v>50.332191999999999</v>
      </c>
      <c r="J36" s="17">
        <f>Прил№2!J36*1.18</f>
        <v>0.48781200000000002</v>
      </c>
      <c r="K36" s="17">
        <f>Прил№2!K36*1.18</f>
        <v>0</v>
      </c>
      <c r="L36" s="17">
        <f>Прил№2!L36*1.18</f>
        <v>15.997731999999999</v>
      </c>
      <c r="M36" s="17">
        <f>Прил№2!M36*1.18</f>
        <v>2.601664</v>
      </c>
      <c r="N36" s="18"/>
      <c r="O36" s="18"/>
      <c r="P36" s="18"/>
    </row>
    <row r="37" spans="1:16" ht="31.5" customHeight="1">
      <c r="A37" s="10">
        <v>21</v>
      </c>
      <c r="B37" s="10" t="s">
        <v>62</v>
      </c>
      <c r="C37" s="16">
        <f t="shared" si="0"/>
        <v>9.7437319999999996</v>
      </c>
      <c r="D37" s="17">
        <f>Прил№2!D37*1.18</f>
        <v>0</v>
      </c>
      <c r="E37" s="17">
        <f>Прил№2!E37*1.18</f>
        <v>0</v>
      </c>
      <c r="F37" s="17">
        <f>Прил№2!F37*1.18</f>
        <v>0</v>
      </c>
      <c r="G37" s="17">
        <f>Прил№2!G37*1.18</f>
        <v>0</v>
      </c>
      <c r="H37" s="17">
        <f>Прил№2!H37*1.18</f>
        <v>0</v>
      </c>
      <c r="I37" s="17">
        <f>Прил№2!I37*1.18</f>
        <v>0</v>
      </c>
      <c r="J37" s="17">
        <f>Прил№2!J37*1.18</f>
        <v>0</v>
      </c>
      <c r="K37" s="17">
        <f>Прил№2!K37*1.18</f>
        <v>0</v>
      </c>
      <c r="L37" s="17">
        <f>Прил№2!L37*1.18</f>
        <v>7.0169880000000004</v>
      </c>
      <c r="M37" s="17">
        <f>Прил№2!M37*1.18</f>
        <v>2.7267439999999996</v>
      </c>
      <c r="N37" s="18"/>
      <c r="O37" s="18"/>
      <c r="P37" s="18"/>
    </row>
  </sheetData>
  <mergeCells count="18">
    <mergeCell ref="J1:M1"/>
    <mergeCell ref="J2:M2"/>
    <mergeCell ref="C10:C11"/>
    <mergeCell ref="A8:M8"/>
    <mergeCell ref="J3:M3"/>
    <mergeCell ref="A35:M35"/>
    <mergeCell ref="A23:M23"/>
    <mergeCell ref="M10:M11"/>
    <mergeCell ref="A13:M13"/>
    <mergeCell ref="A5:M5"/>
    <mergeCell ref="A6:M6"/>
    <mergeCell ref="A7:M7"/>
    <mergeCell ref="A10:A11"/>
    <mergeCell ref="B10:B11"/>
    <mergeCell ref="D10:F10"/>
    <mergeCell ref="G10:J10"/>
    <mergeCell ref="K10:K11"/>
    <mergeCell ref="L10:L11"/>
  </mergeCells>
  <pageMargins left="0.59" right="0.15748031496062992" top="0.75" bottom="0.31496062992125984" header="0.31496062992125984" footer="0.31496062992125984"/>
  <pageSetup paperSize="9" scale="95" orientation="landscape" horizontalDpi="180" verticalDpi="180" r:id="rId1"/>
  <rowBreaks count="2" manualBreakCount="2">
    <brk id="22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152"/>
  <sheetViews>
    <sheetView tabSelected="1" zoomScaleNormal="100" workbookViewId="0">
      <selection activeCell="C4" sqref="C4"/>
    </sheetView>
  </sheetViews>
  <sheetFormatPr defaultRowHeight="12.75"/>
  <cols>
    <col min="1" max="1" width="9.140625" style="24"/>
    <col min="2" max="2" width="30.5703125" style="24" customWidth="1"/>
    <col min="3" max="3" width="44.140625" style="22" customWidth="1"/>
    <col min="4" max="5" width="9.140625" style="22"/>
    <col min="6" max="6" width="34.5703125" style="22" customWidth="1"/>
    <col min="7" max="16384" width="9.140625" style="22"/>
  </cols>
  <sheetData>
    <row r="1" spans="1:3" ht="18" customHeight="1">
      <c r="C1" s="62" t="s">
        <v>217</v>
      </c>
    </row>
    <row r="2" spans="1:3" ht="12.75" customHeight="1">
      <c r="C2" s="62" t="s">
        <v>234</v>
      </c>
    </row>
    <row r="3" spans="1:3">
      <c r="C3" s="62" t="s">
        <v>233</v>
      </c>
    </row>
    <row r="5" spans="1:3" ht="51.75" customHeight="1">
      <c r="A5" s="45" t="s">
        <v>218</v>
      </c>
      <c r="B5" s="45"/>
      <c r="C5" s="45"/>
    </row>
    <row r="7" spans="1:3" ht="40.5" customHeight="1">
      <c r="A7" s="25" t="s">
        <v>3</v>
      </c>
      <c r="B7" s="26" t="s">
        <v>30</v>
      </c>
      <c r="C7" s="26" t="s">
        <v>68</v>
      </c>
    </row>
    <row r="8" spans="1:3" ht="23.25" customHeight="1">
      <c r="A8" s="46" t="s">
        <v>69</v>
      </c>
      <c r="B8" s="46"/>
      <c r="C8" s="46"/>
    </row>
    <row r="9" spans="1:3">
      <c r="A9" s="47">
        <v>1</v>
      </c>
      <c r="B9" s="48" t="s">
        <v>70</v>
      </c>
      <c r="C9" s="21" t="s">
        <v>72</v>
      </c>
    </row>
    <row r="10" spans="1:3">
      <c r="A10" s="47"/>
      <c r="B10" s="49"/>
      <c r="C10" s="21" t="s">
        <v>73</v>
      </c>
    </row>
    <row r="11" spans="1:3">
      <c r="A11" s="47"/>
      <c r="B11" s="49"/>
      <c r="C11" s="21" t="s">
        <v>223</v>
      </c>
    </row>
    <row r="12" spans="1:3">
      <c r="A12" s="47"/>
      <c r="B12" s="49"/>
      <c r="C12" s="21" t="s">
        <v>74</v>
      </c>
    </row>
    <row r="13" spans="1:3">
      <c r="A13" s="47"/>
      <c r="B13" s="49"/>
      <c r="C13" s="21" t="s">
        <v>75</v>
      </c>
    </row>
    <row r="14" spans="1:3">
      <c r="A14" s="47"/>
      <c r="B14" s="49"/>
      <c r="C14" s="21" t="s">
        <v>76</v>
      </c>
    </row>
    <row r="15" spans="1:3">
      <c r="A15" s="47"/>
      <c r="B15" s="49"/>
      <c r="C15" s="21" t="s">
        <v>77</v>
      </c>
    </row>
    <row r="16" spans="1:3">
      <c r="A16" s="47"/>
      <c r="B16" s="49"/>
      <c r="C16" s="21" t="s">
        <v>78</v>
      </c>
    </row>
    <row r="17" spans="1:3">
      <c r="A17" s="47"/>
      <c r="B17" s="49"/>
      <c r="C17" s="21" t="s">
        <v>79</v>
      </c>
    </row>
    <row r="18" spans="1:3">
      <c r="A18" s="47"/>
      <c r="B18" s="49"/>
      <c r="C18" s="21" t="s">
        <v>80</v>
      </c>
    </row>
    <row r="19" spans="1:3">
      <c r="A19" s="47"/>
      <c r="B19" s="49"/>
      <c r="C19" s="21" t="s">
        <v>81</v>
      </c>
    </row>
    <row r="20" spans="1:3">
      <c r="A20" s="47"/>
      <c r="B20" s="49"/>
      <c r="C20" s="21" t="s">
        <v>82</v>
      </c>
    </row>
    <row r="21" spans="1:3">
      <c r="A21" s="47"/>
      <c r="B21" s="49"/>
      <c r="C21" s="21" t="s">
        <v>83</v>
      </c>
    </row>
    <row r="22" spans="1:3">
      <c r="A22" s="47"/>
      <c r="B22" s="49"/>
      <c r="C22" s="21" t="s">
        <v>84</v>
      </c>
    </row>
    <row r="23" spans="1:3">
      <c r="A23" s="47"/>
      <c r="B23" s="49"/>
      <c r="C23" s="21" t="s">
        <v>85</v>
      </c>
    </row>
    <row r="24" spans="1:3">
      <c r="A24" s="47"/>
      <c r="B24" s="49"/>
      <c r="C24" s="21" t="s">
        <v>86</v>
      </c>
    </row>
    <row r="25" spans="1:3">
      <c r="A25" s="47"/>
      <c r="B25" s="49"/>
      <c r="C25" s="21" t="s">
        <v>87</v>
      </c>
    </row>
    <row r="26" spans="1:3">
      <c r="A26" s="47"/>
      <c r="B26" s="49"/>
      <c r="C26" s="21" t="s">
        <v>88</v>
      </c>
    </row>
    <row r="27" spans="1:3">
      <c r="A27" s="47"/>
      <c r="B27" s="49"/>
      <c r="C27" s="21" t="s">
        <v>89</v>
      </c>
    </row>
    <row r="28" spans="1:3">
      <c r="A28" s="47"/>
      <c r="B28" s="49"/>
      <c r="C28" s="21" t="s">
        <v>90</v>
      </c>
    </row>
    <row r="29" spans="1:3">
      <c r="A29" s="47"/>
      <c r="B29" s="49"/>
      <c r="C29" s="21" t="s">
        <v>91</v>
      </c>
    </row>
    <row r="30" spans="1:3">
      <c r="A30" s="47"/>
      <c r="B30" s="49"/>
      <c r="C30" s="21" t="s">
        <v>92</v>
      </c>
    </row>
    <row r="31" spans="1:3">
      <c r="A31" s="47"/>
      <c r="B31" s="49"/>
      <c r="C31" s="21" t="s">
        <v>93</v>
      </c>
    </row>
    <row r="32" spans="1:3">
      <c r="A32" s="47"/>
      <c r="B32" s="49"/>
      <c r="C32" s="21" t="s">
        <v>94</v>
      </c>
    </row>
    <row r="33" spans="1:3">
      <c r="A33" s="47"/>
      <c r="B33" s="49"/>
      <c r="C33" s="21" t="s">
        <v>95</v>
      </c>
    </row>
    <row r="34" spans="1:3">
      <c r="A34" s="47"/>
      <c r="B34" s="49"/>
      <c r="C34" s="21" t="s">
        <v>96</v>
      </c>
    </row>
    <row r="35" spans="1:3">
      <c r="A35" s="47"/>
      <c r="B35" s="49"/>
      <c r="C35" s="21" t="s">
        <v>97</v>
      </c>
    </row>
    <row r="36" spans="1:3">
      <c r="A36" s="47"/>
      <c r="B36" s="49"/>
      <c r="C36" s="21" t="s">
        <v>98</v>
      </c>
    </row>
    <row r="37" spans="1:3">
      <c r="A37" s="47"/>
      <c r="B37" s="49"/>
      <c r="C37" s="21" t="s">
        <v>99</v>
      </c>
    </row>
    <row r="38" spans="1:3">
      <c r="A38" s="47"/>
      <c r="B38" s="49"/>
      <c r="C38" s="21" t="s">
        <v>100</v>
      </c>
    </row>
    <row r="39" spans="1:3">
      <c r="A39" s="47"/>
      <c r="B39" s="49"/>
      <c r="C39" s="21" t="s">
        <v>101</v>
      </c>
    </row>
    <row r="40" spans="1:3">
      <c r="A40" s="47"/>
      <c r="B40" s="49"/>
      <c r="C40" s="21" t="s">
        <v>102</v>
      </c>
    </row>
    <row r="41" spans="1:3">
      <c r="A41" s="47"/>
      <c r="B41" s="49"/>
      <c r="C41" s="21" t="s">
        <v>103</v>
      </c>
    </row>
    <row r="42" spans="1:3">
      <c r="A42" s="47"/>
      <c r="B42" s="49"/>
      <c r="C42" s="21" t="s">
        <v>104</v>
      </c>
    </row>
    <row r="43" spans="1:3">
      <c r="A43" s="47"/>
      <c r="B43" s="49"/>
      <c r="C43" s="21" t="s">
        <v>105</v>
      </c>
    </row>
    <row r="44" spans="1:3">
      <c r="A44" s="47"/>
      <c r="B44" s="49"/>
      <c r="C44" s="21" t="s">
        <v>106</v>
      </c>
    </row>
    <row r="45" spans="1:3">
      <c r="A45" s="47"/>
      <c r="B45" s="50"/>
      <c r="C45" s="21" t="s">
        <v>107</v>
      </c>
    </row>
    <row r="46" spans="1:3" ht="12.75" customHeight="1">
      <c r="A46" s="47">
        <v>2</v>
      </c>
      <c r="B46" s="51" t="s">
        <v>108</v>
      </c>
      <c r="C46" s="21" t="s">
        <v>109</v>
      </c>
    </row>
    <row r="47" spans="1:3">
      <c r="A47" s="47"/>
      <c r="B47" s="51"/>
      <c r="C47" s="21" t="s">
        <v>71</v>
      </c>
    </row>
    <row r="48" spans="1:3">
      <c r="A48" s="47"/>
      <c r="B48" s="51"/>
      <c r="C48" s="21" t="s">
        <v>110</v>
      </c>
    </row>
    <row r="49" spans="1:3">
      <c r="A49" s="47"/>
      <c r="B49" s="51"/>
      <c r="C49" s="21" t="s">
        <v>111</v>
      </c>
    </row>
    <row r="50" spans="1:3">
      <c r="A50" s="47"/>
      <c r="B50" s="51"/>
      <c r="C50" s="21" t="s">
        <v>112</v>
      </c>
    </row>
    <row r="51" spans="1:3">
      <c r="A51" s="47"/>
      <c r="B51" s="51"/>
      <c r="C51" s="21" t="s">
        <v>113</v>
      </c>
    </row>
    <row r="52" spans="1:3">
      <c r="A52" s="47"/>
      <c r="B52" s="51"/>
      <c r="C52" s="21" t="s">
        <v>114</v>
      </c>
    </row>
    <row r="53" spans="1:3">
      <c r="A53" s="47"/>
      <c r="B53" s="51"/>
      <c r="C53" s="21" t="s">
        <v>115</v>
      </c>
    </row>
    <row r="54" spans="1:3">
      <c r="A54" s="47"/>
      <c r="B54" s="51"/>
      <c r="C54" s="21" t="s">
        <v>116</v>
      </c>
    </row>
    <row r="55" spans="1:3">
      <c r="A55" s="47"/>
      <c r="B55" s="51"/>
      <c r="C55" s="21" t="s">
        <v>117</v>
      </c>
    </row>
    <row r="56" spans="1:3">
      <c r="A56" s="47"/>
      <c r="B56" s="51"/>
      <c r="C56" s="21" t="s">
        <v>118</v>
      </c>
    </row>
    <row r="57" spans="1:3">
      <c r="A57" s="47"/>
      <c r="B57" s="51"/>
      <c r="C57" s="21" t="s">
        <v>119</v>
      </c>
    </row>
    <row r="58" spans="1:3">
      <c r="A58" s="47"/>
      <c r="B58" s="51"/>
      <c r="C58" s="21" t="s">
        <v>120</v>
      </c>
    </row>
    <row r="59" spans="1:3">
      <c r="A59" s="47"/>
      <c r="B59" s="51"/>
      <c r="C59" s="21" t="s">
        <v>121</v>
      </c>
    </row>
    <row r="60" spans="1:3">
      <c r="A60" s="47"/>
      <c r="B60" s="51"/>
      <c r="C60" s="21" t="s">
        <v>122</v>
      </c>
    </row>
    <row r="61" spans="1:3">
      <c r="A61" s="47"/>
      <c r="B61" s="51"/>
      <c r="C61" s="21" t="s">
        <v>123</v>
      </c>
    </row>
    <row r="62" spans="1:3">
      <c r="A62" s="47"/>
      <c r="B62" s="51"/>
      <c r="C62" s="21" t="s">
        <v>124</v>
      </c>
    </row>
    <row r="63" spans="1:3">
      <c r="A63" s="47"/>
      <c r="B63" s="51"/>
      <c r="C63" s="21" t="s">
        <v>125</v>
      </c>
    </row>
    <row r="64" spans="1:3">
      <c r="A64" s="47"/>
      <c r="B64" s="51"/>
      <c r="C64" s="21" t="s">
        <v>126</v>
      </c>
    </row>
    <row r="65" spans="1:3">
      <c r="A65" s="47"/>
      <c r="B65" s="51"/>
      <c r="C65" s="21" t="s">
        <v>127</v>
      </c>
    </row>
    <row r="66" spans="1:3">
      <c r="A66" s="47"/>
      <c r="B66" s="51"/>
      <c r="C66" s="21" t="s">
        <v>128</v>
      </c>
    </row>
    <row r="67" spans="1:3">
      <c r="A67" s="47"/>
      <c r="B67" s="51"/>
      <c r="C67" s="21" t="s">
        <v>129</v>
      </c>
    </row>
    <row r="68" spans="1:3">
      <c r="A68" s="47"/>
      <c r="B68" s="51"/>
      <c r="C68" s="21" t="s">
        <v>130</v>
      </c>
    </row>
    <row r="69" spans="1:3">
      <c r="A69" s="47"/>
      <c r="B69" s="51"/>
      <c r="C69" s="21" t="s">
        <v>131</v>
      </c>
    </row>
    <row r="70" spans="1:3">
      <c r="A70" s="47"/>
      <c r="B70" s="51"/>
      <c r="C70" s="21" t="s">
        <v>132</v>
      </c>
    </row>
    <row r="71" spans="1:3">
      <c r="A71" s="47"/>
      <c r="B71" s="51"/>
      <c r="C71" s="21" t="s">
        <v>133</v>
      </c>
    </row>
    <row r="72" spans="1:3">
      <c r="A72" s="47"/>
      <c r="B72" s="51"/>
      <c r="C72" s="21" t="s">
        <v>134</v>
      </c>
    </row>
    <row r="73" spans="1:3">
      <c r="A73" s="47"/>
      <c r="B73" s="51"/>
      <c r="C73" s="21" t="s">
        <v>135</v>
      </c>
    </row>
    <row r="74" spans="1:3" ht="12.75" customHeight="1">
      <c r="A74" s="58">
        <v>3</v>
      </c>
      <c r="B74" s="55" t="s">
        <v>136</v>
      </c>
      <c r="C74" s="27" t="s">
        <v>137</v>
      </c>
    </row>
    <row r="75" spans="1:3">
      <c r="A75" s="59"/>
      <c r="B75" s="56"/>
      <c r="C75" s="27" t="s">
        <v>138</v>
      </c>
    </row>
    <row r="76" spans="1:3">
      <c r="A76" s="59"/>
      <c r="B76" s="56"/>
      <c r="C76" s="21" t="s">
        <v>139</v>
      </c>
    </row>
    <row r="77" spans="1:3">
      <c r="A77" s="59"/>
      <c r="B77" s="56"/>
      <c r="C77" s="21" t="s">
        <v>140</v>
      </c>
    </row>
    <row r="78" spans="1:3">
      <c r="A78" s="59"/>
      <c r="B78" s="56"/>
      <c r="C78" s="21" t="s">
        <v>141</v>
      </c>
    </row>
    <row r="79" spans="1:3">
      <c r="A79" s="59"/>
      <c r="B79" s="56"/>
      <c r="C79" s="21" t="s">
        <v>142</v>
      </c>
    </row>
    <row r="80" spans="1:3">
      <c r="A80" s="59"/>
      <c r="B80" s="56"/>
      <c r="C80" s="21" t="s">
        <v>143</v>
      </c>
    </row>
    <row r="81" spans="1:3">
      <c r="A81" s="59"/>
      <c r="B81" s="56"/>
      <c r="C81" s="21" t="s">
        <v>144</v>
      </c>
    </row>
    <row r="82" spans="1:3">
      <c r="A82" s="59"/>
      <c r="B82" s="56"/>
      <c r="C82" s="21" t="s">
        <v>145</v>
      </c>
    </row>
    <row r="83" spans="1:3">
      <c r="A83" s="59"/>
      <c r="B83" s="56"/>
      <c r="C83" s="21" t="s">
        <v>146</v>
      </c>
    </row>
    <row r="84" spans="1:3">
      <c r="A84" s="59"/>
      <c r="B84" s="56"/>
      <c r="C84" s="21" t="s">
        <v>147</v>
      </c>
    </row>
    <row r="85" spans="1:3">
      <c r="A85" s="59"/>
      <c r="B85" s="56"/>
      <c r="C85" s="21" t="s">
        <v>148</v>
      </c>
    </row>
    <row r="86" spans="1:3">
      <c r="A86" s="59"/>
      <c r="B86" s="56"/>
      <c r="C86" s="21" t="s">
        <v>149</v>
      </c>
    </row>
    <row r="87" spans="1:3">
      <c r="A87" s="59"/>
      <c r="B87" s="56"/>
      <c r="C87" s="21" t="s">
        <v>150</v>
      </c>
    </row>
    <row r="88" spans="1:3">
      <c r="A88" s="60"/>
      <c r="B88" s="57"/>
      <c r="C88" s="21" t="s">
        <v>224</v>
      </c>
    </row>
    <row r="89" spans="1:3" ht="13.5" customHeight="1">
      <c r="A89" s="44">
        <v>4</v>
      </c>
      <c r="B89" s="44" t="s">
        <v>151</v>
      </c>
      <c r="C89" s="21" t="s">
        <v>152</v>
      </c>
    </row>
    <row r="90" spans="1:3">
      <c r="A90" s="44"/>
      <c r="B90" s="44"/>
      <c r="C90" s="21" t="s">
        <v>153</v>
      </c>
    </row>
    <row r="91" spans="1:3">
      <c r="A91" s="44"/>
      <c r="B91" s="44"/>
      <c r="C91" s="21" t="s">
        <v>154</v>
      </c>
    </row>
    <row r="92" spans="1:3">
      <c r="A92" s="44"/>
      <c r="B92" s="44"/>
      <c r="C92" s="21" t="s">
        <v>155</v>
      </c>
    </row>
    <row r="93" spans="1:3">
      <c r="A93" s="44"/>
      <c r="B93" s="44"/>
      <c r="C93" s="21" t="s">
        <v>156</v>
      </c>
    </row>
    <row r="94" spans="1:3">
      <c r="A94" s="44"/>
      <c r="B94" s="44"/>
      <c r="C94" s="21" t="s">
        <v>157</v>
      </c>
    </row>
    <row r="95" spans="1:3">
      <c r="A95" s="44"/>
      <c r="B95" s="44"/>
      <c r="C95" s="21" t="s">
        <v>158</v>
      </c>
    </row>
    <row r="96" spans="1:3">
      <c r="A96" s="44"/>
      <c r="B96" s="44"/>
      <c r="C96" s="21" t="s">
        <v>159</v>
      </c>
    </row>
    <row r="97" spans="1:3">
      <c r="A97" s="44"/>
      <c r="B97" s="44"/>
      <c r="C97" s="21" t="s">
        <v>160</v>
      </c>
    </row>
    <row r="98" spans="1:3">
      <c r="A98" s="44"/>
      <c r="B98" s="44"/>
      <c r="C98" s="21" t="s">
        <v>161</v>
      </c>
    </row>
    <row r="99" spans="1:3" ht="21.75" customHeight="1">
      <c r="A99" s="44">
        <v>5</v>
      </c>
      <c r="B99" s="44" t="s">
        <v>220</v>
      </c>
      <c r="C99" s="21" t="s">
        <v>162</v>
      </c>
    </row>
    <row r="100" spans="1:3" ht="28.5" customHeight="1">
      <c r="A100" s="44"/>
      <c r="B100" s="44"/>
      <c r="C100" s="21" t="s">
        <v>163</v>
      </c>
    </row>
    <row r="101" spans="1:3" ht="14.25" customHeight="1">
      <c r="A101" s="44">
        <v>6</v>
      </c>
      <c r="B101" s="44" t="s">
        <v>164</v>
      </c>
      <c r="C101" s="21" t="s">
        <v>165</v>
      </c>
    </row>
    <row r="102" spans="1:3">
      <c r="A102" s="44"/>
      <c r="B102" s="44"/>
      <c r="C102" s="21" t="s">
        <v>166</v>
      </c>
    </row>
    <row r="103" spans="1:3">
      <c r="A103" s="44"/>
      <c r="B103" s="44"/>
      <c r="C103" s="21" t="s">
        <v>225</v>
      </c>
    </row>
    <row r="104" spans="1:3">
      <c r="A104" s="44"/>
      <c r="B104" s="44"/>
      <c r="C104" s="21" t="s">
        <v>167</v>
      </c>
    </row>
    <row r="105" spans="1:3">
      <c r="A105" s="44"/>
      <c r="B105" s="44"/>
      <c r="C105" s="21" t="s">
        <v>168</v>
      </c>
    </row>
    <row r="106" spans="1:3">
      <c r="A106" s="44"/>
      <c r="B106" s="44"/>
      <c r="C106" s="21" t="s">
        <v>169</v>
      </c>
    </row>
    <row r="107" spans="1:3" ht="16.5" customHeight="1">
      <c r="A107" s="44">
        <v>7</v>
      </c>
      <c r="B107" s="44" t="s">
        <v>170</v>
      </c>
      <c r="C107" s="28" t="s">
        <v>171</v>
      </c>
    </row>
    <row r="108" spans="1:3">
      <c r="A108" s="44"/>
      <c r="B108" s="44"/>
      <c r="C108" s="28" t="s">
        <v>172</v>
      </c>
    </row>
    <row r="109" spans="1:3">
      <c r="A109" s="44"/>
      <c r="B109" s="44"/>
      <c r="C109" s="21" t="s">
        <v>173</v>
      </c>
    </row>
    <row r="110" spans="1:3">
      <c r="A110" s="44"/>
      <c r="B110" s="44"/>
      <c r="C110" s="21" t="s">
        <v>174</v>
      </c>
    </row>
    <row r="111" spans="1:3">
      <c r="A111" s="44"/>
      <c r="B111" s="44"/>
      <c r="C111" s="21" t="s">
        <v>175</v>
      </c>
    </row>
    <row r="112" spans="1:3">
      <c r="A112" s="44"/>
      <c r="B112" s="44"/>
      <c r="C112" s="21" t="s">
        <v>176</v>
      </c>
    </row>
    <row r="113" spans="1:3" ht="22.5" customHeight="1">
      <c r="A113" s="52" t="s">
        <v>177</v>
      </c>
      <c r="B113" s="53"/>
      <c r="C113" s="54"/>
    </row>
    <row r="114" spans="1:3" ht="11.25" customHeight="1">
      <c r="A114" s="44">
        <v>8</v>
      </c>
      <c r="B114" s="44" t="s">
        <v>178</v>
      </c>
      <c r="C114" s="21" t="s">
        <v>179</v>
      </c>
    </row>
    <row r="115" spans="1:3">
      <c r="A115" s="44"/>
      <c r="B115" s="44"/>
      <c r="C115" s="21" t="s">
        <v>180</v>
      </c>
    </row>
    <row r="116" spans="1:3">
      <c r="A116" s="44"/>
      <c r="B116" s="44"/>
      <c r="C116" s="21" t="s">
        <v>181</v>
      </c>
    </row>
    <row r="117" spans="1:3">
      <c r="A117" s="44"/>
      <c r="B117" s="44"/>
      <c r="C117" s="21" t="s">
        <v>182</v>
      </c>
    </row>
    <row r="118" spans="1:3">
      <c r="A118" s="44"/>
      <c r="B118" s="44"/>
      <c r="C118" s="21" t="s">
        <v>183</v>
      </c>
    </row>
    <row r="119" spans="1:3">
      <c r="A119" s="44"/>
      <c r="B119" s="44"/>
      <c r="C119" s="21" t="s">
        <v>184</v>
      </c>
    </row>
    <row r="120" spans="1:3">
      <c r="A120" s="44"/>
      <c r="B120" s="44"/>
      <c r="C120" s="21" t="s">
        <v>185</v>
      </c>
    </row>
    <row r="121" spans="1:3">
      <c r="A121" s="44"/>
      <c r="B121" s="44"/>
      <c r="C121" s="21" t="s">
        <v>186</v>
      </c>
    </row>
    <row r="122" spans="1:3">
      <c r="A122" s="44"/>
      <c r="B122" s="44"/>
      <c r="C122" s="21" t="s">
        <v>187</v>
      </c>
    </row>
    <row r="123" spans="1:3">
      <c r="A123" s="44"/>
      <c r="B123" s="44"/>
      <c r="C123" s="21" t="s">
        <v>188</v>
      </c>
    </row>
    <row r="124" spans="1:3">
      <c r="A124" s="44"/>
      <c r="B124" s="44"/>
      <c r="C124" s="21" t="s">
        <v>189</v>
      </c>
    </row>
    <row r="125" spans="1:3">
      <c r="A125" s="44"/>
      <c r="B125" s="44"/>
      <c r="C125" s="21" t="s">
        <v>190</v>
      </c>
    </row>
    <row r="126" spans="1:3">
      <c r="A126" s="44"/>
      <c r="B126" s="44"/>
      <c r="C126" s="21" t="s">
        <v>191</v>
      </c>
    </row>
    <row r="127" spans="1:3">
      <c r="A127" s="44"/>
      <c r="B127" s="44"/>
      <c r="C127" s="21" t="s">
        <v>192</v>
      </c>
    </row>
    <row r="128" spans="1:3">
      <c r="A128" s="44"/>
      <c r="B128" s="44"/>
      <c r="C128" s="21" t="s">
        <v>193</v>
      </c>
    </row>
    <row r="129" spans="1:3">
      <c r="A129" s="44"/>
      <c r="B129" s="44"/>
      <c r="C129" s="21" t="s">
        <v>194</v>
      </c>
    </row>
    <row r="130" spans="1:3" ht="15.75" customHeight="1">
      <c r="A130" s="44">
        <v>9</v>
      </c>
      <c r="B130" s="44" t="s">
        <v>195</v>
      </c>
      <c r="C130" s="21" t="s">
        <v>196</v>
      </c>
    </row>
    <row r="131" spans="1:3">
      <c r="A131" s="44"/>
      <c r="B131" s="44"/>
      <c r="C131" s="21" t="s">
        <v>197</v>
      </c>
    </row>
    <row r="132" spans="1:3">
      <c r="A132" s="44"/>
      <c r="B132" s="44"/>
      <c r="C132" s="21" t="s">
        <v>198</v>
      </c>
    </row>
    <row r="133" spans="1:3">
      <c r="A133" s="44"/>
      <c r="B133" s="44"/>
      <c r="C133" s="21" t="s">
        <v>226</v>
      </c>
    </row>
    <row r="134" spans="1:3">
      <c r="A134" s="44"/>
      <c r="B134" s="44"/>
      <c r="C134" s="21" t="s">
        <v>227</v>
      </c>
    </row>
    <row r="135" spans="1:3">
      <c r="A135" s="44"/>
      <c r="B135" s="44"/>
      <c r="C135" s="21" t="s">
        <v>199</v>
      </c>
    </row>
    <row r="136" spans="1:3" ht="15.75" customHeight="1">
      <c r="A136" s="44">
        <v>10</v>
      </c>
      <c r="B136" s="44" t="s">
        <v>200</v>
      </c>
      <c r="C136" s="21" t="s">
        <v>201</v>
      </c>
    </row>
    <row r="137" spans="1:3">
      <c r="A137" s="44"/>
      <c r="B137" s="44"/>
      <c r="C137" s="21" t="s">
        <v>202</v>
      </c>
    </row>
    <row r="138" spans="1:3">
      <c r="A138" s="44"/>
      <c r="B138" s="44"/>
      <c r="C138" s="21" t="s">
        <v>203</v>
      </c>
    </row>
    <row r="139" spans="1:3">
      <c r="A139" s="44"/>
      <c r="B139" s="44"/>
      <c r="C139" s="21" t="s">
        <v>204</v>
      </c>
    </row>
    <row r="140" spans="1:3">
      <c r="A140" s="44"/>
      <c r="B140" s="44"/>
      <c r="C140" s="21" t="s">
        <v>205</v>
      </c>
    </row>
    <row r="141" spans="1:3" ht="25.5" customHeight="1">
      <c r="A141" s="58">
        <v>11</v>
      </c>
      <c r="B141" s="58" t="s">
        <v>228</v>
      </c>
      <c r="C141" s="21" t="s">
        <v>229</v>
      </c>
    </row>
    <row r="142" spans="1:3">
      <c r="A142" s="59"/>
      <c r="B142" s="59"/>
      <c r="C142" s="21" t="s">
        <v>230</v>
      </c>
    </row>
    <row r="143" spans="1:3">
      <c r="A143" s="60"/>
      <c r="B143" s="60"/>
      <c r="C143" s="21" t="s">
        <v>231</v>
      </c>
    </row>
    <row r="144" spans="1:3">
      <c r="A144" s="44">
        <v>12</v>
      </c>
      <c r="B144" s="44" t="s">
        <v>206</v>
      </c>
      <c r="C144" s="21" t="s">
        <v>207</v>
      </c>
    </row>
    <row r="145" spans="1:3">
      <c r="A145" s="44"/>
      <c r="B145" s="44"/>
      <c r="C145" s="21" t="s">
        <v>208</v>
      </c>
    </row>
    <row r="146" spans="1:3">
      <c r="A146" s="44"/>
      <c r="B146" s="44"/>
      <c r="C146" s="21" t="s">
        <v>209</v>
      </c>
    </row>
    <row r="147" spans="1:3" ht="38.25">
      <c r="A147" s="25">
        <v>13</v>
      </c>
      <c r="B147" s="25" t="s">
        <v>210</v>
      </c>
      <c r="C147" s="29" t="s">
        <v>211</v>
      </c>
    </row>
    <row r="148" spans="1:3" ht="38.25">
      <c r="A148" s="25">
        <v>14</v>
      </c>
      <c r="B148" s="25" t="s">
        <v>222</v>
      </c>
      <c r="C148" s="21" t="s">
        <v>191</v>
      </c>
    </row>
    <row r="149" spans="1:3">
      <c r="A149" s="25">
        <v>15</v>
      </c>
      <c r="B149" s="25" t="s">
        <v>212</v>
      </c>
      <c r="C149" s="21" t="s">
        <v>207</v>
      </c>
    </row>
    <row r="150" spans="1:3" ht="26.25" customHeight="1">
      <c r="A150" s="52" t="s">
        <v>213</v>
      </c>
      <c r="B150" s="53"/>
      <c r="C150" s="54"/>
    </row>
    <row r="151" spans="1:3" ht="12.75" customHeight="1">
      <c r="A151" s="44">
        <v>16</v>
      </c>
      <c r="B151" s="44" t="s">
        <v>214</v>
      </c>
      <c r="C151" s="28" t="s">
        <v>215</v>
      </c>
    </row>
    <row r="152" spans="1:3">
      <c r="A152" s="44"/>
      <c r="B152" s="44"/>
      <c r="C152" s="28" t="s">
        <v>216</v>
      </c>
    </row>
  </sheetData>
  <mergeCells count="30">
    <mergeCell ref="A113:C113"/>
    <mergeCell ref="B74:B88"/>
    <mergeCell ref="A74:A88"/>
    <mergeCell ref="B141:B143"/>
    <mergeCell ref="A141:A143"/>
    <mergeCell ref="A130:A135"/>
    <mergeCell ref="B130:B135"/>
    <mergeCell ref="A136:A140"/>
    <mergeCell ref="B136:B140"/>
    <mergeCell ref="A114:A129"/>
    <mergeCell ref="B114:B129"/>
    <mergeCell ref="A89:A98"/>
    <mergeCell ref="B89:B98"/>
    <mergeCell ref="A99:A100"/>
    <mergeCell ref="B99:B100"/>
    <mergeCell ref="A101:A106"/>
    <mergeCell ref="A144:A146"/>
    <mergeCell ref="B144:B146"/>
    <mergeCell ref="A150:C150"/>
    <mergeCell ref="A151:A152"/>
    <mergeCell ref="B151:B152"/>
    <mergeCell ref="B101:B106"/>
    <mergeCell ref="A107:A112"/>
    <mergeCell ref="B107:B112"/>
    <mergeCell ref="A5:C5"/>
    <mergeCell ref="A8:C8"/>
    <mergeCell ref="A9:A45"/>
    <mergeCell ref="B9:B45"/>
    <mergeCell ref="A46:A73"/>
    <mergeCell ref="B46:B73"/>
  </mergeCells>
  <pageMargins left="0.55118110236220474" right="0.3543307086614173" top="0.59055118110236215" bottom="0.59055118110236215" header="0.51181102362204722" footer="0.51181102362204722"/>
  <pageSetup paperSize="9" scale="99" orientation="portrait" r:id="rId1"/>
  <rowBreaks count="2" manualBreakCount="2">
    <brk id="49" max="2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</vt:lpstr>
      <vt:lpstr>Прил№2</vt:lpstr>
      <vt:lpstr>Прил№3</vt:lpstr>
      <vt:lpstr>Прил№4</vt:lpstr>
      <vt:lpstr>Прил№2!Заголовки_для_печати</vt:lpstr>
      <vt:lpstr>Прил№3!Заголовки_для_печати</vt:lpstr>
      <vt:lpstr>Прил№4!Заголовки_для_печати</vt:lpstr>
      <vt:lpstr>Прил№2!Область_печати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2014-11-27T01:19:07Z</dcterms:modified>
</cp:coreProperties>
</file>