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'Лист1'!$A$1:$M$116</definedName>
  </definedNames>
  <calcPr fullCalcOnLoad="1"/>
</workbook>
</file>

<file path=xl/sharedStrings.xml><?xml version="1.0" encoding="utf-8"?>
<sst xmlns="http://schemas.openxmlformats.org/spreadsheetml/2006/main" count="626" uniqueCount="292">
  <si>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</si>
  <si>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</si>
  <si>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</si>
  <si>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</si>
  <si>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</si>
  <si>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</si>
  <si>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</si>
  <si>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</si>
  <si>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</si>
  <si>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</si>
  <si>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</si>
  <si>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</si>
  <si>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</si>
  <si>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</si>
  <si>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</si>
  <si>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</si>
  <si>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</si>
  <si>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</si>
  <si>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</si>
  <si>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</si>
  <si>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</si>
  <si>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</si>
  <si>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</si>
  <si>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</si>
  <si>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</si>
  <si>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</si>
  <si>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</si>
  <si>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</si>
  <si>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</si>
  <si>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</si>
  <si>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</si>
  <si>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</si>
  <si>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</si>
  <si>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</si>
  <si>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</si>
  <si>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</si>
  <si>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</si>
  <si>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</si>
  <si>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</si>
  <si>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</si>
  <si>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</si>
  <si>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</si>
  <si>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</si>
  <si>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</si>
  <si>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</si>
  <si>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</si>
  <si>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</si>
  <si>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</si>
  <si>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</si>
  <si>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</si>
  <si>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</si>
  <si>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</si>
  <si>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</si>
  <si>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</si>
  <si>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</si>
  <si>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</si>
  <si>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</si>
  <si>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</si>
  <si>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</si>
  <si>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</si>
  <si>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</si>
  <si>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</si>
  <si>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</si>
  <si>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</si>
  <si>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</si>
  <si>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</si>
  <si>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</si>
  <si>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</si>
  <si>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</si>
  <si>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</si>
  <si>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</si>
  <si>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</si>
  <si>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</si>
  <si>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</si>
  <si>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</si>
  <si>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</si>
  <si>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</si>
  <si>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</si>
  <si>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</si>
  <si>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</si>
  <si>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</si>
  <si>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</si>
  <si>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</si>
  <si>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</si>
  <si>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</si>
  <si>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9.1.</t>
  </si>
  <si>
    <t>9.2.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</si>
  <si>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</si>
  <si>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</si>
  <si>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</si>
  <si>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</si>
  <si>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</si>
  <si>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</si>
  <si>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</si>
  <si>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</si>
  <si>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</si>
  <si>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</si>
  <si>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</si>
  <si>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</si>
  <si>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</si>
  <si>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</si>
  <si>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</si>
  <si>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</si>
  <si>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</si>
  <si>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</si>
  <si>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</si>
  <si>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</si>
  <si>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</si>
  <si>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</si>
  <si>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</si>
  <si>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</si>
  <si>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</si>
  <si>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</si>
  <si>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</si>
  <si>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</si>
  <si>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</si>
  <si>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</si>
  <si>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</si>
  <si>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</si>
  <si>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</si>
  <si>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</si>
  <si>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</si>
  <si>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</si>
  <si>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</si>
  <si>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</si>
  <si>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</si>
  <si>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</si>
  <si>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</si>
  <si>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</si>
  <si>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>6.8</t>
  </si>
  <si>
    <t xml:space="preserve">  01.1.0074080        </t>
  </si>
  <si>
    <t xml:space="preserve"> 01.1.0085010      </t>
  </si>
  <si>
    <t>7.5</t>
  </si>
  <si>
    <t>01.100S5630</t>
  </si>
  <si>
    <t xml:space="preserve">0701,  0702 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</si>
  <si>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</si>
  <si>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</si>
  <si>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</si>
  <si>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</si>
  <si>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7.4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</si>
  <si>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</si>
  <si>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</si>
  <si>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</si>
  <si>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</si>
  <si>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</si>
  <si>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</si>
  <si>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</si>
  <si>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</si>
  <si>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</si>
  <si>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</si>
  <si>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</si>
  <si>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</si>
  <si>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</si>
  <si>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</si>
  <si>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</si>
  <si>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</si>
  <si>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</si>
  <si>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</si>
  <si>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Восстановлено  наружное освещение в 18-ти учреждениях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</si>
  <si>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</si>
  <si>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>0701, 0702</t>
  </si>
  <si>
    <t>Руководитель управления образованием                                                               Л.Ф. Буйницкая</t>
  </si>
  <si>
    <t>Итого за период  2020-2022 годы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</si>
  <si>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</si>
  <si>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</si>
  <si>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</si>
  <si>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</si>
  <si>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</si>
  <si>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</si>
  <si>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</si>
  <si>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</si>
  <si>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</si>
  <si>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1.6</t>
  </si>
  <si>
    <t>1.7</t>
  </si>
  <si>
    <t>1.9</t>
  </si>
  <si>
    <t>5.4</t>
  </si>
  <si>
    <t>5.5</t>
  </si>
  <si>
    <t>5.6</t>
  </si>
  <si>
    <t>5.7</t>
  </si>
  <si>
    <t>6.3</t>
  </si>
  <si>
    <t>6.6</t>
  </si>
  <si>
    <t>6.7</t>
  </si>
  <si>
    <t>Расходы, предусмотренные на реализацию мероприятий по созданию (обновлению)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</si>
  <si>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 xml:space="preserve">  01.1.E151690</t>
  </si>
  <si>
    <t>Расходы, предусмотренные на реализацию мероприятий по внедрению целевой модели цифровой образовательной среды в общеобразовательных организациях и профессиональныз образовательных организациях в рамках подпрограммы "Развитие дошкольного, общего и дополнительного образования"</t>
  </si>
  <si>
    <t xml:space="preserve">  01.1.E452100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</si>
  <si>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</si>
  <si>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</si>
  <si>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</si>
  <si>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</si>
  <si>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</si>
  <si>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</si>
  <si>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</si>
  <si>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</si>
  <si>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</si>
  <si>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01.1.0053040   </t>
  </si>
  <si>
    <t xml:space="preserve">      01.1.0053030</t>
  </si>
  <si>
    <t xml:space="preserve">       01.1001036А</t>
  </si>
  <si>
    <t xml:space="preserve">       01.10010360</t>
  </si>
  <si>
    <t xml:space="preserve">      01.1.001036А</t>
  </si>
  <si>
    <t xml:space="preserve">      01.1.0010250</t>
  </si>
  <si>
    <t xml:space="preserve">       01.10010250</t>
  </si>
  <si>
    <t xml:space="preserve">   01.1.001021Р</t>
  </si>
  <si>
    <t xml:space="preserve">      01.1.001021Р</t>
  </si>
  <si>
    <t xml:space="preserve">        01.1.001021Р</t>
  </si>
  <si>
    <t xml:space="preserve">   01.100S4300   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</si>
  <si>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</si>
  <si>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</si>
  <si>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</si>
  <si>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</si>
  <si>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>Расходы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</si>
  <si>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1.5</t>
  </si>
  <si>
    <t>1.10</t>
  </si>
  <si>
    <t>1.11</t>
  </si>
  <si>
    <t>1.12</t>
  </si>
  <si>
    <t>5.20</t>
  </si>
  <si>
    <t>5.21</t>
  </si>
  <si>
    <t>5.22</t>
  </si>
  <si>
    <t>6.9</t>
  </si>
  <si>
    <t>6.10</t>
  </si>
  <si>
    <t>6.11</t>
  </si>
  <si>
    <t>6.12</t>
  </si>
  <si>
    <t>7.3</t>
  </si>
  <si>
    <t>7.6</t>
  </si>
  <si>
    <t>7.7</t>
  </si>
  <si>
    <t xml:space="preserve">   01.10074300      </t>
  </si>
  <si>
    <t>Произведен текущий ремонт спортивного зала в одном общеобразовательном учреждении</t>
  </si>
  <si>
    <t xml:space="preserve"> 'Расходы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</t>
  </si>
  <si>
    <t>Создание в общеобразовательных организациях, расположенных 
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</si>
  <si>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01.1R373980   01.100S3980</t>
  </si>
  <si>
    <t>Софинансирование расходов предусмотренных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</si>
  <si>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6.2</t>
  </si>
  <si>
    <t xml:space="preserve">  01.1.0089090       </t>
  </si>
  <si>
    <t xml:space="preserve">  01.1.0089100       </t>
  </si>
  <si>
    <t xml:space="preserve">  01.1.008910П       </t>
  </si>
  <si>
    <t xml:space="preserve">        01.1.001021У</t>
  </si>
  <si>
    <t xml:space="preserve">       01.1001036У</t>
  </si>
  <si>
    <t xml:space="preserve">       01.1001036Ф</t>
  </si>
  <si>
    <t xml:space="preserve">    01.1.001048У</t>
  </si>
  <si>
    <t>6.13</t>
  </si>
  <si>
    <t>6.14</t>
  </si>
  <si>
    <t>6.15</t>
  </si>
  <si>
    <t>6.16</t>
  </si>
  <si>
    <t>6.17</t>
  </si>
  <si>
    <t>6.18</t>
  </si>
  <si>
    <t>6.19</t>
  </si>
  <si>
    <t>7.8</t>
  </si>
  <si>
    <t>Расходы предусмотренные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</si>
  <si>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на обеспечение функционирования модели персонифицированного финансирования дополнительного образования детей  в рамках подпрограммы "Развитие дошкольного, общего и дополнительного образования"</t>
  </si>
  <si>
    <t>Расходы предусмотренные на функционирование муниципального опорного центра дополнительного образования детей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</si>
  <si>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</si>
  <si>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Средства на повышение размеров оплаты труда педагогическим работникам  муниципальных учреждений дополнительного образования реализующих программы дополнительного образования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</si>
  <si>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 01.1.0089130</t>
  </si>
  <si>
    <t>6.5</t>
  </si>
  <si>
    <t>6.20</t>
  </si>
  <si>
    <t>Профилактические мероприятия по предотвращению распространаения коронавирусной инфекции, вызванной 2019-nCoV</t>
  </si>
  <si>
    <t>2422 ребенка  начального общего образования получают бесплатное горячее питание</t>
  </si>
  <si>
    <t>5.23</t>
  </si>
  <si>
    <t>5.24</t>
  </si>
  <si>
    <t xml:space="preserve">01.1.0074420   </t>
  </si>
  <si>
    <t xml:space="preserve"> Расходы предусмотренные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</si>
  <si>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 xml:space="preserve">  01.1R373980   </t>
  </si>
  <si>
    <t>Расходы на 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 "Развитие дошкольного, общего и дополнительного образования"</t>
  </si>
  <si>
    <t>Расходы на профилактические мероприятия по предотвращению распространаения коронавирусной инфекции, вызванной 2019-nCoV в рамках подпрограммы "Развитие дошкольного, общего и  дополнительного образования"</t>
  </si>
  <si>
    <t>01100L3040</t>
  </si>
  <si>
    <t xml:space="preserve">       01.1001035А</t>
  </si>
  <si>
    <t xml:space="preserve">       01.10010350</t>
  </si>
  <si>
    <t>Расходы на повышение с 1 октября 2020 года размеров оплаты труда в рамках подпрограммы "Развитие дошкольного, общего и дополнительного образования"</t>
  </si>
  <si>
    <t xml:space="preserve">      01.1.0010350</t>
  </si>
  <si>
    <t xml:space="preserve">      01.1.001035А</t>
  </si>
  <si>
    <t>к постановлению Администрации города Шарыпово</t>
  </si>
  <si>
    <t>1.13</t>
  </si>
  <si>
    <t>1.14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</si>
  <si>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</si>
  <si>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</si>
  <si>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</si>
  <si>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</si>
  <si>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</si>
  <si>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</si>
  <si>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</si>
  <si>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</si>
  <si>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</si>
  <si>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</si>
  <si>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</si>
  <si>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</si>
  <si>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5.25</t>
  </si>
  <si>
    <t>5.26</t>
  </si>
  <si>
    <t>5.27</t>
  </si>
  <si>
    <t>6.21</t>
  </si>
  <si>
    <t>6.22</t>
  </si>
  <si>
    <t>Приложение № 6</t>
  </si>
  <si>
    <t>от 01.12.2020 г. № 268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</si>
</sst>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?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2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view="pageBreakPreview" zoomScale="75" zoomScaleNormal="75" zoomScaleSheetLayoutView="75" zoomScalePageLayoutView="0" workbookViewId="0" topLeftCell="A3">
      <selection activeCell="F6" sqref="F6"/>
    </sheetView>
  </sheetViews>
  <sheetFormatPr defaultColWidth="9.00390625" defaultRowHeight="12.75"/>
  <cols>
    <col min="1" max="1" width="5.375" style="84" customWidth="1"/>
    <col min="2" max="2" width="39.00390625" style="85" customWidth="1"/>
    <col min="3" max="3" width="15.625" style="85" customWidth="1"/>
    <col min="4" max="4" width="7.625" style="85" customWidth="1"/>
    <col min="5" max="5" width="8.75390625" style="85" customWidth="1"/>
    <col min="6" max="6" width="14.625" style="85" customWidth="1"/>
    <col min="7" max="7" width="6.125" style="85" customWidth="1"/>
    <col min="8" max="8" width="12.75390625" style="85" customWidth="1"/>
    <col min="9" max="9" width="13.125" style="85" customWidth="1"/>
    <col min="10" max="10" width="13.25390625" style="85" customWidth="1"/>
    <col min="11" max="11" width="14.125" style="85" customWidth="1"/>
    <col min="12" max="12" width="17.625" style="85" customWidth="1"/>
    <col min="13" max="13" width="11.00390625" style="0" bestFit="1" customWidth="1"/>
    <col min="18" max="18" width="0.37109375" style="0" customWidth="1"/>
    <col min="19" max="19" width="9.125" style="0" hidden="1" customWidth="1"/>
    <col min="20" max="20" width="3.875" style="0" customWidth="1"/>
    <col min="21" max="21" width="13.25390625" style="0" customWidth="1"/>
  </cols>
  <sheetData>
    <row r="1" spans="1:12" ht="21.75" customHeight="1" hidden="1">
      <c r="A1" s="104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1.75" customHeight="1" hidden="1">
      <c r="A2" s="13"/>
      <c r="B2" s="14"/>
      <c r="C2" s="14"/>
      <c r="D2" s="14"/>
      <c r="E2" s="14"/>
      <c r="F2" s="103" t="s">
        <v>52</v>
      </c>
      <c r="G2" s="103"/>
      <c r="H2" s="103"/>
      <c r="I2" s="103"/>
      <c r="J2" s="103"/>
      <c r="K2" s="103"/>
      <c r="L2" s="103"/>
    </row>
    <row r="3" spans="1:12" ht="21.75" customHeight="1">
      <c r="A3" s="104" t="s">
        <v>290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21.75" customHeight="1">
      <c r="A4" s="104" t="s">
        <v>270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21.75" customHeight="1">
      <c r="A5" s="104" t="s">
        <v>291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21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06" t="s">
        <v>62</v>
      </c>
      <c r="L6" s="106"/>
    </row>
    <row r="7" spans="1:12" ht="18.75" customHeight="1">
      <c r="A7" s="106" t="s">
        <v>150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3.5" customHeight="1">
      <c r="A8" s="106" t="s">
        <v>63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15.75" customHeight="1">
      <c r="A9" s="106" t="s">
        <v>143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15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ht="51.75" customHeight="1">
      <c r="A11" s="116" t="s">
        <v>61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8"/>
      <c r="L11" s="118"/>
    </row>
    <row r="12" spans="1:12" ht="40.5" customHeight="1">
      <c r="A12" s="107" t="s">
        <v>0</v>
      </c>
      <c r="B12" s="108" t="s">
        <v>2</v>
      </c>
      <c r="C12" s="17"/>
      <c r="D12" s="108" t="s">
        <v>4</v>
      </c>
      <c r="E12" s="108"/>
      <c r="F12" s="108"/>
      <c r="G12" s="108"/>
      <c r="H12" s="119"/>
      <c r="I12" s="120"/>
      <c r="J12" s="121"/>
      <c r="K12" s="108" t="s">
        <v>162</v>
      </c>
      <c r="L12" s="108" t="s">
        <v>8</v>
      </c>
    </row>
    <row r="13" spans="1:12" ht="40.5" customHeight="1">
      <c r="A13" s="107"/>
      <c r="B13" s="108"/>
      <c r="C13" s="17" t="s">
        <v>3</v>
      </c>
      <c r="D13" s="17" t="s">
        <v>3</v>
      </c>
      <c r="E13" s="17" t="s">
        <v>5</v>
      </c>
      <c r="F13" s="17" t="s">
        <v>6</v>
      </c>
      <c r="G13" s="17" t="s">
        <v>7</v>
      </c>
      <c r="H13" s="17">
        <v>2020</v>
      </c>
      <c r="I13" s="17">
        <v>2021</v>
      </c>
      <c r="J13" s="17">
        <v>2022</v>
      </c>
      <c r="K13" s="108"/>
      <c r="L13" s="108"/>
    </row>
    <row r="14" spans="1:12" s="3" customFormat="1" ht="18.75" customHeight="1">
      <c r="A14" s="122" t="s">
        <v>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3"/>
    </row>
    <row r="15" spans="1:12" ht="22.5" customHeight="1">
      <c r="A15" s="113" t="s">
        <v>17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5"/>
    </row>
    <row r="16" spans="1:12" s="7" customFormat="1" ht="369.75" customHeight="1">
      <c r="A16" s="16" t="s">
        <v>69</v>
      </c>
      <c r="B16" s="19" t="s">
        <v>97</v>
      </c>
      <c r="C16" s="20" t="s">
        <v>103</v>
      </c>
      <c r="D16" s="16" t="s">
        <v>37</v>
      </c>
      <c r="E16" s="16" t="s">
        <v>38</v>
      </c>
      <c r="F16" s="21" t="s">
        <v>119</v>
      </c>
      <c r="G16" s="17" t="s">
        <v>25</v>
      </c>
      <c r="H16" s="22">
        <f>144445.1+2015.09+2.19+2416.9+4767.3</f>
        <v>153646.58</v>
      </c>
      <c r="I16" s="22">
        <v>144445.1</v>
      </c>
      <c r="J16" s="22">
        <v>144445.1</v>
      </c>
      <c r="K16" s="23">
        <f aca="true" t="shared" si="0" ref="K16:K29">SUM(H16:J16)</f>
        <v>442536.78</v>
      </c>
      <c r="L16" s="17" t="s">
        <v>64</v>
      </c>
    </row>
    <row r="17" spans="1:12" s="7" customFormat="1" ht="372" customHeight="1">
      <c r="A17" s="16" t="s">
        <v>70</v>
      </c>
      <c r="B17" s="19" t="s">
        <v>135</v>
      </c>
      <c r="C17" s="20" t="s">
        <v>103</v>
      </c>
      <c r="D17" s="16" t="s">
        <v>37</v>
      </c>
      <c r="E17" s="16" t="s">
        <v>38</v>
      </c>
      <c r="F17" s="21" t="s">
        <v>130</v>
      </c>
      <c r="G17" s="17" t="s">
        <v>25</v>
      </c>
      <c r="H17" s="24">
        <f>77476.7+2359.75+2562.5+1478.39</f>
        <v>83877.34</v>
      </c>
      <c r="I17" s="24">
        <f>77476.7+4393.3</f>
        <v>81870</v>
      </c>
      <c r="J17" s="24">
        <f>77476.7+4393.3</f>
        <v>81870</v>
      </c>
      <c r="K17" s="23">
        <f t="shared" si="0"/>
        <v>247617.34</v>
      </c>
      <c r="L17" s="17" t="s">
        <v>64</v>
      </c>
    </row>
    <row r="18" spans="1:12" s="7" customFormat="1" ht="105.75" customHeight="1">
      <c r="A18" s="16" t="s">
        <v>71</v>
      </c>
      <c r="B18" s="25" t="s">
        <v>47</v>
      </c>
      <c r="C18" s="20" t="s">
        <v>103</v>
      </c>
      <c r="D18" s="26" t="s">
        <v>37</v>
      </c>
      <c r="E18" s="26" t="s">
        <v>38</v>
      </c>
      <c r="F18" s="27" t="s">
        <v>131</v>
      </c>
      <c r="G18" s="28" t="s">
        <v>25</v>
      </c>
      <c r="H18" s="24">
        <f>34989.14+76.57+42.31-11.64+839.61+44.36+247.91+493.1-504.6-0.01</f>
        <v>36216.75</v>
      </c>
      <c r="I18" s="24">
        <v>34989.14</v>
      </c>
      <c r="J18" s="24">
        <v>34989.14</v>
      </c>
      <c r="K18" s="23">
        <f t="shared" si="0"/>
        <v>106195.03</v>
      </c>
      <c r="L18" s="29" t="s">
        <v>65</v>
      </c>
    </row>
    <row r="19" spans="1:12" s="7" customFormat="1" ht="75.75" customHeight="1">
      <c r="A19" s="16" t="s">
        <v>72</v>
      </c>
      <c r="B19" s="25" t="s">
        <v>167</v>
      </c>
      <c r="C19" s="20" t="s">
        <v>103</v>
      </c>
      <c r="D19" s="26" t="s">
        <v>37</v>
      </c>
      <c r="E19" s="26" t="s">
        <v>38</v>
      </c>
      <c r="F19" s="27" t="s">
        <v>166</v>
      </c>
      <c r="G19" s="28" t="s">
        <v>25</v>
      </c>
      <c r="H19" s="24">
        <f>2745.96+781.2</f>
        <v>3527.16</v>
      </c>
      <c r="I19" s="24"/>
      <c r="J19" s="24"/>
      <c r="K19" s="23">
        <f t="shared" si="0"/>
        <v>3527.16</v>
      </c>
      <c r="L19" s="29"/>
    </row>
    <row r="20" spans="1:12" s="7" customFormat="1" ht="86.25" customHeight="1">
      <c r="A20" s="26" t="s">
        <v>211</v>
      </c>
      <c r="B20" s="25" t="s">
        <v>267</v>
      </c>
      <c r="C20" s="20" t="s">
        <v>103</v>
      </c>
      <c r="D20" s="26" t="s">
        <v>37</v>
      </c>
      <c r="E20" s="26" t="s">
        <v>38</v>
      </c>
      <c r="F20" s="27" t="s">
        <v>265</v>
      </c>
      <c r="G20" s="28" t="s">
        <v>25</v>
      </c>
      <c r="H20" s="24">
        <v>27.5</v>
      </c>
      <c r="I20" s="24"/>
      <c r="J20" s="24"/>
      <c r="K20" s="23">
        <f>SUM(H20:J20)</f>
        <v>27.5</v>
      </c>
      <c r="L20" s="29"/>
    </row>
    <row r="21" spans="1:12" s="7" customFormat="1" ht="86.25" customHeight="1">
      <c r="A21" s="26" t="s">
        <v>172</v>
      </c>
      <c r="B21" s="25" t="s">
        <v>267</v>
      </c>
      <c r="C21" s="20" t="s">
        <v>103</v>
      </c>
      <c r="D21" s="26" t="s">
        <v>37</v>
      </c>
      <c r="E21" s="26" t="s">
        <v>38</v>
      </c>
      <c r="F21" s="27" t="s">
        <v>266</v>
      </c>
      <c r="G21" s="28" t="s">
        <v>25</v>
      </c>
      <c r="H21" s="24">
        <f>51.75+51.84</f>
        <v>103.59</v>
      </c>
      <c r="I21" s="24"/>
      <c r="J21" s="24"/>
      <c r="K21" s="23">
        <f>SUM(H21:J21)</f>
        <v>103.59</v>
      </c>
      <c r="L21" s="29"/>
    </row>
    <row r="22" spans="1:12" s="7" customFormat="1" ht="83.25" customHeight="1">
      <c r="A22" s="26" t="s">
        <v>173</v>
      </c>
      <c r="B22" s="25" t="s">
        <v>207</v>
      </c>
      <c r="C22" s="20" t="s">
        <v>103</v>
      </c>
      <c r="D22" s="26" t="s">
        <v>37</v>
      </c>
      <c r="E22" s="26" t="s">
        <v>38</v>
      </c>
      <c r="F22" s="27" t="s">
        <v>197</v>
      </c>
      <c r="G22" s="28" t="s">
        <v>25</v>
      </c>
      <c r="H22" s="24">
        <f>186.27</f>
        <v>186.27</v>
      </c>
      <c r="I22" s="24"/>
      <c r="J22" s="24"/>
      <c r="K22" s="23">
        <f>SUM(H22:J22)</f>
        <v>186.27</v>
      </c>
      <c r="L22" s="29"/>
    </row>
    <row r="23" spans="1:12" s="7" customFormat="1" ht="84.75" customHeight="1">
      <c r="A23" s="26" t="s">
        <v>100</v>
      </c>
      <c r="B23" s="25" t="s">
        <v>207</v>
      </c>
      <c r="C23" s="20" t="s">
        <v>103</v>
      </c>
      <c r="D23" s="26" t="s">
        <v>37</v>
      </c>
      <c r="E23" s="26" t="s">
        <v>38</v>
      </c>
      <c r="F23" s="27" t="s">
        <v>198</v>
      </c>
      <c r="G23" s="28" t="s">
        <v>25</v>
      </c>
      <c r="H23" s="24">
        <v>627.79</v>
      </c>
      <c r="I23" s="24"/>
      <c r="J23" s="24"/>
      <c r="K23" s="23">
        <f>SUM(H23:J23)</f>
        <v>627.79</v>
      </c>
      <c r="L23" s="29"/>
    </row>
    <row r="24" spans="1:12" s="7" customFormat="1" ht="119.25" customHeight="1">
      <c r="A24" s="26" t="s">
        <v>174</v>
      </c>
      <c r="B24" s="25" t="s">
        <v>91</v>
      </c>
      <c r="C24" s="20" t="s">
        <v>103</v>
      </c>
      <c r="D24" s="26" t="s">
        <v>37</v>
      </c>
      <c r="E24" s="26" t="s">
        <v>38</v>
      </c>
      <c r="F24" s="27" t="s">
        <v>107</v>
      </c>
      <c r="G24" s="28" t="s">
        <v>25</v>
      </c>
      <c r="H24" s="24">
        <v>28776.7</v>
      </c>
      <c r="I24" s="24">
        <v>28776.7</v>
      </c>
      <c r="J24" s="24">
        <v>28776.7</v>
      </c>
      <c r="K24" s="23">
        <f t="shared" si="0"/>
        <v>86330.1</v>
      </c>
      <c r="L24" s="29" t="s">
        <v>92</v>
      </c>
    </row>
    <row r="25" spans="1:12" s="3" customFormat="1" ht="243.75" customHeight="1">
      <c r="A25" s="16" t="s">
        <v>212</v>
      </c>
      <c r="B25" s="30" t="s">
        <v>59</v>
      </c>
      <c r="C25" s="20" t="s">
        <v>103</v>
      </c>
      <c r="D25" s="16" t="s">
        <v>37</v>
      </c>
      <c r="E25" s="17">
        <v>1003</v>
      </c>
      <c r="F25" s="16" t="s">
        <v>108</v>
      </c>
      <c r="G25" s="17" t="s">
        <v>25</v>
      </c>
      <c r="H25" s="22">
        <f>629.8-170.2</f>
        <v>459.59999999999997</v>
      </c>
      <c r="I25" s="22">
        <v>629.8</v>
      </c>
      <c r="J25" s="22">
        <v>629.8</v>
      </c>
      <c r="K25" s="23">
        <f t="shared" si="0"/>
        <v>1719.1999999999998</v>
      </c>
      <c r="L25" s="18" t="s">
        <v>26</v>
      </c>
    </row>
    <row r="26" spans="1:13" s="7" customFormat="1" ht="147" customHeight="1">
      <c r="A26" s="16" t="s">
        <v>213</v>
      </c>
      <c r="B26" s="31" t="s">
        <v>53</v>
      </c>
      <c r="C26" s="20" t="s">
        <v>103</v>
      </c>
      <c r="D26" s="16" t="s">
        <v>37</v>
      </c>
      <c r="E26" s="16" t="s">
        <v>38</v>
      </c>
      <c r="F26" s="17" t="s">
        <v>109</v>
      </c>
      <c r="G26" s="17" t="s">
        <v>25</v>
      </c>
      <c r="H26" s="22">
        <f>35738.09-300.01+300-627.79-103.49-515.07</f>
        <v>34491.729999999996</v>
      </c>
      <c r="I26" s="22">
        <v>35738.09</v>
      </c>
      <c r="J26" s="22">
        <v>35738.09</v>
      </c>
      <c r="K26" s="23">
        <f t="shared" si="0"/>
        <v>105967.90999999999</v>
      </c>
      <c r="L26" s="18" t="s">
        <v>73</v>
      </c>
      <c r="M26" s="7" t="s">
        <v>24</v>
      </c>
    </row>
    <row r="27" spans="1:12" s="7" customFormat="1" ht="144.75" customHeight="1">
      <c r="A27" s="16" t="s">
        <v>214</v>
      </c>
      <c r="B27" s="31" t="s">
        <v>53</v>
      </c>
      <c r="C27" s="20" t="s">
        <v>103</v>
      </c>
      <c r="D27" s="16" t="s">
        <v>37</v>
      </c>
      <c r="E27" s="16" t="s">
        <v>38</v>
      </c>
      <c r="F27" s="17" t="s">
        <v>202</v>
      </c>
      <c r="G27" s="17" t="s">
        <v>25</v>
      </c>
      <c r="H27" s="22">
        <f>383.91-383.91</f>
        <v>0</v>
      </c>
      <c r="I27" s="22">
        <v>0</v>
      </c>
      <c r="J27" s="22">
        <v>0</v>
      </c>
      <c r="K27" s="23">
        <f>SUM(H27:J27)</f>
        <v>0</v>
      </c>
      <c r="L27" s="18" t="s">
        <v>73</v>
      </c>
    </row>
    <row r="28" spans="1:12" s="7" customFormat="1" ht="159" customHeight="1">
      <c r="A28" s="16" t="s">
        <v>271</v>
      </c>
      <c r="B28" s="30" t="s">
        <v>54</v>
      </c>
      <c r="C28" s="20" t="s">
        <v>103</v>
      </c>
      <c r="D28" s="16" t="s">
        <v>121</v>
      </c>
      <c r="E28" s="17">
        <v>1004</v>
      </c>
      <c r="F28" s="16" t="s">
        <v>110</v>
      </c>
      <c r="G28" s="17" t="s">
        <v>42</v>
      </c>
      <c r="H28" s="22">
        <f>5428.6-1981.1</f>
        <v>3447.5000000000005</v>
      </c>
      <c r="I28" s="22">
        <f>5428.6-5000</f>
        <v>428.60000000000036</v>
      </c>
      <c r="J28" s="22">
        <f>5428.6-5000</f>
        <v>428.60000000000036</v>
      </c>
      <c r="K28" s="23">
        <f t="shared" si="0"/>
        <v>4304.700000000001</v>
      </c>
      <c r="L28" s="18" t="s">
        <v>66</v>
      </c>
    </row>
    <row r="29" spans="1:12" s="7" customFormat="1" ht="96.75" customHeight="1">
      <c r="A29" s="16" t="s">
        <v>272</v>
      </c>
      <c r="B29" s="94" t="s">
        <v>151</v>
      </c>
      <c r="C29" s="20" t="s">
        <v>103</v>
      </c>
      <c r="D29" s="32" t="s">
        <v>37</v>
      </c>
      <c r="E29" s="17"/>
      <c r="F29" s="17"/>
      <c r="G29" s="17"/>
      <c r="H29" s="17">
        <f>24008.21+2195.1+251.25+10+604.33+210+168</f>
        <v>27446.89</v>
      </c>
      <c r="I29" s="17">
        <v>26203.31</v>
      </c>
      <c r="J29" s="17">
        <v>26203.31</v>
      </c>
      <c r="K29" s="23">
        <f t="shared" si="0"/>
        <v>79853.51</v>
      </c>
      <c r="L29" s="18" t="s">
        <v>67</v>
      </c>
    </row>
    <row r="30" spans="1:12" s="3" customFormat="1" ht="24.75" customHeight="1">
      <c r="A30" s="131" t="s">
        <v>18</v>
      </c>
      <c r="B30" s="120"/>
      <c r="C30" s="120"/>
      <c r="D30" s="33"/>
      <c r="E30" s="34"/>
      <c r="F30" s="34"/>
      <c r="G30" s="34"/>
      <c r="H30" s="23">
        <f>SUM(H16:H29)</f>
        <v>372835.39999999997</v>
      </c>
      <c r="I30" s="23">
        <f>SUM(I16:I29)</f>
        <v>353080.73999999993</v>
      </c>
      <c r="J30" s="23">
        <f>SUM(J16:J29)</f>
        <v>353080.73999999993</v>
      </c>
      <c r="K30" s="23">
        <f>SUM(K16:K29)</f>
        <v>1078996.88</v>
      </c>
      <c r="L30" s="34"/>
    </row>
    <row r="31" spans="1:13" ht="25.5" customHeight="1">
      <c r="A31" s="128" t="s">
        <v>120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30"/>
      <c r="M31" s="12"/>
    </row>
    <row r="32" spans="1:12" ht="258" customHeight="1">
      <c r="A32" s="16" t="s">
        <v>74</v>
      </c>
      <c r="B32" s="35" t="s">
        <v>55</v>
      </c>
      <c r="C32" s="20" t="s">
        <v>103</v>
      </c>
      <c r="D32" s="16" t="s">
        <v>37</v>
      </c>
      <c r="E32" s="36" t="s">
        <v>39</v>
      </c>
      <c r="F32" s="36" t="s">
        <v>111</v>
      </c>
      <c r="G32" s="17" t="s">
        <v>25</v>
      </c>
      <c r="H32" s="37">
        <v>108</v>
      </c>
      <c r="I32" s="37">
        <v>108</v>
      </c>
      <c r="J32" s="37">
        <v>108</v>
      </c>
      <c r="K32" s="38">
        <f>SUM(H32:J32)</f>
        <v>324</v>
      </c>
      <c r="L32" s="35" t="s">
        <v>140</v>
      </c>
    </row>
    <row r="33" spans="1:12" ht="21" customHeight="1">
      <c r="A33" s="39"/>
      <c r="B33" s="40" t="s">
        <v>19</v>
      </c>
      <c r="C33" s="40"/>
      <c r="D33" s="41"/>
      <c r="E33" s="41"/>
      <c r="F33" s="41"/>
      <c r="G33" s="41"/>
      <c r="H33" s="38">
        <f>SUM(H32:H32)</f>
        <v>108</v>
      </c>
      <c r="I33" s="38">
        <f>SUM(I32:I32)</f>
        <v>108</v>
      </c>
      <c r="J33" s="38">
        <f>SUM(J32:J32)</f>
        <v>108</v>
      </c>
      <c r="K33" s="38">
        <f>SUM(K32:K32)</f>
        <v>324</v>
      </c>
      <c r="L33" s="41"/>
    </row>
    <row r="34" spans="1:15" ht="36.75" customHeight="1">
      <c r="A34" s="110" t="s">
        <v>20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5"/>
      <c r="N34" s="5"/>
      <c r="O34" s="5"/>
    </row>
    <row r="35" spans="1:12" ht="147" customHeight="1">
      <c r="A35" s="16" t="s">
        <v>75</v>
      </c>
      <c r="B35" s="35" t="s">
        <v>93</v>
      </c>
      <c r="C35" s="20" t="s">
        <v>103</v>
      </c>
      <c r="D35" s="16" t="s">
        <v>37</v>
      </c>
      <c r="E35" s="42" t="s">
        <v>38</v>
      </c>
      <c r="F35" s="42"/>
      <c r="G35" s="17" t="s">
        <v>25</v>
      </c>
      <c r="H35" s="43"/>
      <c r="I35" s="43"/>
      <c r="J35" s="43"/>
      <c r="K35" s="44">
        <f>SUM(H35:H35)</f>
        <v>0</v>
      </c>
      <c r="L35" s="35" t="s">
        <v>144</v>
      </c>
    </row>
    <row r="36" spans="1:12" ht="165" customHeight="1">
      <c r="A36" s="16" t="s">
        <v>76</v>
      </c>
      <c r="B36" s="35" t="s">
        <v>94</v>
      </c>
      <c r="C36" s="20" t="s">
        <v>103</v>
      </c>
      <c r="D36" s="16" t="s">
        <v>37</v>
      </c>
      <c r="E36" s="42" t="s">
        <v>40</v>
      </c>
      <c r="F36" s="42"/>
      <c r="G36" s="17" t="s">
        <v>25</v>
      </c>
      <c r="H36" s="43"/>
      <c r="I36" s="43"/>
      <c r="J36" s="43"/>
      <c r="K36" s="44">
        <f>SUM(H36:H36)</f>
        <v>0</v>
      </c>
      <c r="L36" s="35" t="s">
        <v>144</v>
      </c>
    </row>
    <row r="37" spans="1:12" ht="21" customHeight="1">
      <c r="A37" s="45"/>
      <c r="B37" s="34" t="s">
        <v>14</v>
      </c>
      <c r="C37" s="34"/>
      <c r="D37" s="34"/>
      <c r="E37" s="41"/>
      <c r="F37" s="46"/>
      <c r="G37" s="46"/>
      <c r="H37" s="23">
        <f>SUM(H35:H36)</f>
        <v>0</v>
      </c>
      <c r="I37" s="23">
        <f>SUM(I35:I36)</f>
        <v>0</v>
      </c>
      <c r="J37" s="23"/>
      <c r="K37" s="23">
        <f>SUM(K35:K36)</f>
        <v>0</v>
      </c>
      <c r="L37" s="23">
        <f>SUM(L35:L36)</f>
        <v>0</v>
      </c>
    </row>
    <row r="38" spans="1:13" s="1" customFormat="1" ht="59.25" customHeight="1">
      <c r="A38" s="132" t="s">
        <v>68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4"/>
    </row>
    <row r="39" spans="1:13" s="1" customFormat="1" ht="225" customHeight="1">
      <c r="A39" s="47" t="s">
        <v>77</v>
      </c>
      <c r="B39" s="35" t="s">
        <v>1</v>
      </c>
      <c r="C39" s="20" t="s">
        <v>103</v>
      </c>
      <c r="D39" s="32" t="s">
        <v>37</v>
      </c>
      <c r="E39" s="35"/>
      <c r="F39" s="35"/>
      <c r="G39" s="35"/>
      <c r="H39" s="48"/>
      <c r="I39" s="48"/>
      <c r="J39" s="48"/>
      <c r="K39" s="46">
        <f>SUM(H39:H39)</f>
        <v>0</v>
      </c>
      <c r="L39" s="35" t="s">
        <v>152</v>
      </c>
      <c r="M39" s="2"/>
    </row>
    <row r="40" spans="1:13" s="1" customFormat="1" ht="80.25" customHeight="1">
      <c r="A40" s="47" t="s">
        <v>78</v>
      </c>
      <c r="B40" s="35" t="s">
        <v>12</v>
      </c>
      <c r="C40" s="20" t="s">
        <v>103</v>
      </c>
      <c r="D40" s="32" t="s">
        <v>37</v>
      </c>
      <c r="E40" s="35"/>
      <c r="F40" s="35"/>
      <c r="G40" s="35"/>
      <c r="H40" s="48"/>
      <c r="I40" s="48"/>
      <c r="J40" s="48"/>
      <c r="K40" s="46">
        <f>SUM(H40:H40)</f>
        <v>0</v>
      </c>
      <c r="L40" s="35" t="s">
        <v>13</v>
      </c>
      <c r="M40" s="2"/>
    </row>
    <row r="41" spans="1:13" s="1" customFormat="1" ht="25.5" customHeight="1">
      <c r="A41" s="49"/>
      <c r="B41" s="41" t="s">
        <v>10</v>
      </c>
      <c r="C41" s="41"/>
      <c r="D41" s="34"/>
      <c r="E41" s="41"/>
      <c r="F41" s="41"/>
      <c r="G41" s="41"/>
      <c r="H41" s="23">
        <f>SUM(H39:H40)</f>
        <v>0</v>
      </c>
      <c r="I41" s="23"/>
      <c r="J41" s="23"/>
      <c r="K41" s="23">
        <f>SUM(K39:K40)</f>
        <v>0</v>
      </c>
      <c r="L41" s="41"/>
      <c r="M41" s="2"/>
    </row>
    <row r="42" spans="1:13" s="1" customFormat="1" ht="36" customHeight="1">
      <c r="A42" s="135" t="s">
        <v>21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7"/>
      <c r="M42" s="2"/>
    </row>
    <row r="43" spans="1:13" s="9" customFormat="1" ht="409.5" customHeight="1">
      <c r="A43" s="50" t="s">
        <v>11</v>
      </c>
      <c r="B43" s="19" t="s">
        <v>98</v>
      </c>
      <c r="C43" s="20" t="s">
        <v>103</v>
      </c>
      <c r="D43" s="50" t="s">
        <v>37</v>
      </c>
      <c r="E43" s="51" t="s">
        <v>149</v>
      </c>
      <c r="F43" s="51" t="s">
        <v>124</v>
      </c>
      <c r="G43" s="17" t="s">
        <v>25</v>
      </c>
      <c r="H43" s="52">
        <f>212102.1+673.93-330.2+848.65</f>
        <v>213294.47999999998</v>
      </c>
      <c r="I43" s="52">
        <v>212102.1</v>
      </c>
      <c r="J43" s="52">
        <v>212102.1</v>
      </c>
      <c r="K43" s="53">
        <f aca="true" t="shared" si="1" ref="K43:K70">SUM(H43:J43)</f>
        <v>637498.6799999999</v>
      </c>
      <c r="L43" s="54" t="s">
        <v>145</v>
      </c>
      <c r="M43" s="8"/>
    </row>
    <row r="44" spans="1:13" s="9" customFormat="1" ht="370.5" customHeight="1">
      <c r="A44" s="50" t="s">
        <v>79</v>
      </c>
      <c r="B44" s="93" t="s">
        <v>122</v>
      </c>
      <c r="C44" s="20" t="s">
        <v>103</v>
      </c>
      <c r="D44" s="50" t="s">
        <v>37</v>
      </c>
      <c r="E44" s="50" t="s">
        <v>40</v>
      </c>
      <c r="F44" s="51" t="s">
        <v>123</v>
      </c>
      <c r="G44" s="17" t="s">
        <v>25</v>
      </c>
      <c r="H44" s="52">
        <f>22213.3+185.08+1322.7+270.52</f>
        <v>23991.600000000002</v>
      </c>
      <c r="I44" s="52">
        <f>22213.3+2267.3</f>
        <v>24480.6</v>
      </c>
      <c r="J44" s="52">
        <f>22213.3+2267.3</f>
        <v>24480.6</v>
      </c>
      <c r="K44" s="53">
        <f t="shared" si="1"/>
        <v>72952.79999999999</v>
      </c>
      <c r="L44" s="54" t="s">
        <v>141</v>
      </c>
      <c r="M44" s="8"/>
    </row>
    <row r="45" spans="1:13" s="9" customFormat="1" ht="285.75" customHeight="1">
      <c r="A45" s="50" t="s">
        <v>80</v>
      </c>
      <c r="B45" s="90" t="s">
        <v>49</v>
      </c>
      <c r="C45" s="20" t="s">
        <v>103</v>
      </c>
      <c r="D45" s="50" t="s">
        <v>37</v>
      </c>
      <c r="E45" s="50" t="s">
        <v>40</v>
      </c>
      <c r="F45" s="51" t="s">
        <v>125</v>
      </c>
      <c r="G45" s="17" t="s">
        <v>48</v>
      </c>
      <c r="H45" s="52">
        <f>41345.64+582.73+345.2+132-0.3+456.45+304.71+0.01+210.06+66.2+324.27-10.53+458.2-81.28+162.85-37.87+1032.82-81.57</f>
        <v>45209.58999999998</v>
      </c>
      <c r="I45" s="52">
        <f>41357.63-49+0.01</f>
        <v>41308.64</v>
      </c>
      <c r="J45" s="52">
        <f>41357.64-78.12+0.01+0.01</f>
        <v>41279.54</v>
      </c>
      <c r="K45" s="53">
        <f t="shared" si="1"/>
        <v>127797.76999999999</v>
      </c>
      <c r="L45" s="54" t="s">
        <v>145</v>
      </c>
      <c r="M45" s="8"/>
    </row>
    <row r="46" spans="1:13" s="9" customFormat="1" ht="73.5" customHeight="1">
      <c r="A46" s="50" t="s">
        <v>175</v>
      </c>
      <c r="B46" s="55" t="s">
        <v>104</v>
      </c>
      <c r="C46" s="20" t="s">
        <v>103</v>
      </c>
      <c r="D46" s="50" t="s">
        <v>37</v>
      </c>
      <c r="E46" s="51" t="s">
        <v>160</v>
      </c>
      <c r="F46" s="51" t="s">
        <v>58</v>
      </c>
      <c r="G46" s="17" t="s">
        <v>48</v>
      </c>
      <c r="H46" s="52">
        <v>1696.4</v>
      </c>
      <c r="I46" s="52">
        <v>1696.4</v>
      </c>
      <c r="J46" s="52">
        <v>1696.4</v>
      </c>
      <c r="K46" s="53">
        <f t="shared" si="1"/>
        <v>5089.200000000001</v>
      </c>
      <c r="L46" s="54"/>
      <c r="M46" s="8"/>
    </row>
    <row r="47" spans="1:13" s="9" customFormat="1" ht="114.75" customHeight="1">
      <c r="A47" s="50" t="s">
        <v>176</v>
      </c>
      <c r="B47" s="55" t="s">
        <v>263</v>
      </c>
      <c r="C47" s="20" t="s">
        <v>103</v>
      </c>
      <c r="D47" s="50" t="s">
        <v>37</v>
      </c>
      <c r="E47" s="51" t="s">
        <v>160</v>
      </c>
      <c r="F47" s="51" t="s">
        <v>252</v>
      </c>
      <c r="G47" s="17" t="s">
        <v>45</v>
      </c>
      <c r="H47" s="52">
        <v>2809.31</v>
      </c>
      <c r="I47" s="52">
        <v>0</v>
      </c>
      <c r="J47" s="52">
        <v>0</v>
      </c>
      <c r="K47" s="53">
        <f t="shared" si="1"/>
        <v>2809.31</v>
      </c>
      <c r="L47" s="54"/>
      <c r="M47" s="8"/>
    </row>
    <row r="48" spans="1:24" s="11" customFormat="1" ht="165" customHeight="1">
      <c r="A48" s="47" t="s">
        <v>177</v>
      </c>
      <c r="B48" s="86" t="s">
        <v>56</v>
      </c>
      <c r="C48" s="20" t="s">
        <v>103</v>
      </c>
      <c r="D48" s="50" t="s">
        <v>37</v>
      </c>
      <c r="E48" s="87">
        <v>702</v>
      </c>
      <c r="F48" s="36" t="s">
        <v>112</v>
      </c>
      <c r="G48" s="17" t="s">
        <v>96</v>
      </c>
      <c r="H48" s="88">
        <f>11610.1-2317.8+3668</f>
        <v>12960.3</v>
      </c>
      <c r="I48" s="88">
        <v>11610.1</v>
      </c>
      <c r="J48" s="88">
        <v>11610.1</v>
      </c>
      <c r="K48" s="53">
        <f t="shared" si="1"/>
        <v>36180.5</v>
      </c>
      <c r="L48" s="35" t="s">
        <v>146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12" s="10" customFormat="1" ht="135" customHeight="1">
      <c r="A49" s="47" t="s">
        <v>178</v>
      </c>
      <c r="B49" s="86" t="s">
        <v>206</v>
      </c>
      <c r="C49" s="20" t="s">
        <v>103</v>
      </c>
      <c r="D49" s="50" t="s">
        <v>37</v>
      </c>
      <c r="E49" s="87">
        <v>1003</v>
      </c>
      <c r="F49" s="36" t="s">
        <v>195</v>
      </c>
      <c r="G49" s="17" t="s">
        <v>96</v>
      </c>
      <c r="H49" s="88">
        <f>4635.6-4635.6</f>
        <v>0</v>
      </c>
      <c r="I49" s="88">
        <v>0</v>
      </c>
      <c r="J49" s="88">
        <v>0</v>
      </c>
      <c r="K49" s="53">
        <f>SUM(H49:J49)</f>
        <v>0</v>
      </c>
      <c r="L49" s="35" t="s">
        <v>146</v>
      </c>
    </row>
    <row r="50" spans="1:12" s="10" customFormat="1" ht="134.25" customHeight="1">
      <c r="A50" s="47" t="s">
        <v>178</v>
      </c>
      <c r="B50" s="86" t="s">
        <v>206</v>
      </c>
      <c r="C50" s="20" t="s">
        <v>103</v>
      </c>
      <c r="D50" s="50" t="s">
        <v>37</v>
      </c>
      <c r="E50" s="87">
        <v>1003</v>
      </c>
      <c r="F50" s="36" t="s">
        <v>259</v>
      </c>
      <c r="G50" s="17" t="s">
        <v>96</v>
      </c>
      <c r="H50" s="88">
        <f>7961.26-7961.26</f>
        <v>0</v>
      </c>
      <c r="I50" s="88">
        <v>0</v>
      </c>
      <c r="J50" s="88">
        <v>0</v>
      </c>
      <c r="K50" s="53">
        <f t="shared" si="1"/>
        <v>0</v>
      </c>
      <c r="L50" s="35" t="s">
        <v>146</v>
      </c>
    </row>
    <row r="51" spans="1:12" s="10" customFormat="1" ht="263.25" customHeight="1">
      <c r="A51" s="47" t="s">
        <v>273</v>
      </c>
      <c r="B51" s="95" t="s">
        <v>262</v>
      </c>
      <c r="C51" s="20" t="s">
        <v>103</v>
      </c>
      <c r="D51" s="50" t="s">
        <v>37</v>
      </c>
      <c r="E51" s="87">
        <v>1003</v>
      </c>
      <c r="F51" s="36" t="s">
        <v>264</v>
      </c>
      <c r="G51" s="17" t="s">
        <v>48</v>
      </c>
      <c r="H51" s="88">
        <f>10527.9-10.53</f>
        <v>10517.369999999999</v>
      </c>
      <c r="I51" s="88"/>
      <c r="J51" s="88"/>
      <c r="K51" s="53">
        <f t="shared" si="1"/>
        <v>10517.369999999999</v>
      </c>
      <c r="L51" s="96" t="s">
        <v>256</v>
      </c>
    </row>
    <row r="52" spans="1:12" s="10" customFormat="1" ht="263.25" customHeight="1">
      <c r="A52" s="47" t="s">
        <v>274</v>
      </c>
      <c r="B52" s="95" t="s">
        <v>262</v>
      </c>
      <c r="C52" s="20" t="s">
        <v>103</v>
      </c>
      <c r="D52" s="50" t="s">
        <v>37</v>
      </c>
      <c r="E52" s="87">
        <v>1003</v>
      </c>
      <c r="F52" s="36" t="s">
        <v>264</v>
      </c>
      <c r="G52" s="17" t="s">
        <v>48</v>
      </c>
      <c r="H52" s="88">
        <v>10.53</v>
      </c>
      <c r="I52" s="88"/>
      <c r="J52" s="88"/>
      <c r="K52" s="53">
        <f t="shared" si="1"/>
        <v>10.53</v>
      </c>
      <c r="L52" s="96" t="s">
        <v>256</v>
      </c>
    </row>
    <row r="53" spans="1:12" s="7" customFormat="1" ht="150" customHeight="1">
      <c r="A53" s="16" t="s">
        <v>275</v>
      </c>
      <c r="B53" s="31" t="s">
        <v>53</v>
      </c>
      <c r="C53" s="20" t="s">
        <v>103</v>
      </c>
      <c r="D53" s="50" t="s">
        <v>37</v>
      </c>
      <c r="E53" s="50" t="s">
        <v>40</v>
      </c>
      <c r="F53" s="17" t="s">
        <v>113</v>
      </c>
      <c r="G53" s="17" t="s">
        <v>25</v>
      </c>
      <c r="H53" s="22">
        <f>42394.45-25+25-805.47-115.38-286.87</f>
        <v>41186.729999999996</v>
      </c>
      <c r="I53" s="22">
        <v>42394.45</v>
      </c>
      <c r="J53" s="22">
        <v>42394.45</v>
      </c>
      <c r="K53" s="53">
        <f t="shared" si="1"/>
        <v>125975.62999999999</v>
      </c>
      <c r="L53" s="18" t="s">
        <v>43</v>
      </c>
    </row>
    <row r="54" spans="1:12" s="7" customFormat="1" ht="144" customHeight="1">
      <c r="A54" s="16" t="s">
        <v>276</v>
      </c>
      <c r="B54" s="31" t="s">
        <v>53</v>
      </c>
      <c r="C54" s="20" t="s">
        <v>103</v>
      </c>
      <c r="D54" s="50" t="s">
        <v>37</v>
      </c>
      <c r="E54" s="50" t="s">
        <v>40</v>
      </c>
      <c r="F54" s="17" t="s">
        <v>203</v>
      </c>
      <c r="G54" s="17" t="s">
        <v>25</v>
      </c>
      <c r="H54" s="22">
        <f>325.5-325.5</f>
        <v>0</v>
      </c>
      <c r="I54" s="22">
        <v>0</v>
      </c>
      <c r="J54" s="22">
        <v>0</v>
      </c>
      <c r="K54" s="53">
        <f t="shared" si="1"/>
        <v>0</v>
      </c>
      <c r="L54" s="18" t="s">
        <v>43</v>
      </c>
    </row>
    <row r="55" spans="1:12" s="7" customFormat="1" ht="111" customHeight="1">
      <c r="A55" s="16" t="s">
        <v>277</v>
      </c>
      <c r="B55" s="31" t="s">
        <v>167</v>
      </c>
      <c r="C55" s="20" t="s">
        <v>103</v>
      </c>
      <c r="D55" s="50" t="s">
        <v>37</v>
      </c>
      <c r="E55" s="50" t="s">
        <v>40</v>
      </c>
      <c r="F55" s="17" t="s">
        <v>168</v>
      </c>
      <c r="G55" s="17" t="s">
        <v>25</v>
      </c>
      <c r="H55" s="56">
        <f>3278.29+902.38</f>
        <v>4180.67</v>
      </c>
      <c r="I55" s="56">
        <v>0</v>
      </c>
      <c r="J55" s="56">
        <v>0</v>
      </c>
      <c r="K55" s="53">
        <f t="shared" si="1"/>
        <v>4180.67</v>
      </c>
      <c r="L55" s="18" t="s">
        <v>43</v>
      </c>
    </row>
    <row r="56" spans="1:12" s="7" customFormat="1" ht="89.25" customHeight="1">
      <c r="A56" s="16" t="s">
        <v>278</v>
      </c>
      <c r="B56" s="31" t="s">
        <v>267</v>
      </c>
      <c r="C56" s="20" t="s">
        <v>103</v>
      </c>
      <c r="D56" s="50" t="s">
        <v>37</v>
      </c>
      <c r="E56" s="50" t="s">
        <v>40</v>
      </c>
      <c r="F56" s="17" t="s">
        <v>268</v>
      </c>
      <c r="G56" s="17" t="s">
        <v>25</v>
      </c>
      <c r="H56" s="56">
        <f>58.89+56.49</f>
        <v>115.38</v>
      </c>
      <c r="I56" s="56">
        <v>0</v>
      </c>
      <c r="J56" s="56">
        <v>0</v>
      </c>
      <c r="K56" s="53">
        <f>SUM(H56:J56)</f>
        <v>115.38</v>
      </c>
      <c r="L56" s="18"/>
    </row>
    <row r="57" spans="1:12" s="7" customFormat="1" ht="90" customHeight="1">
      <c r="A57" s="16" t="s">
        <v>279</v>
      </c>
      <c r="B57" s="25" t="s">
        <v>267</v>
      </c>
      <c r="C57" s="20" t="s">
        <v>103</v>
      </c>
      <c r="D57" s="50" t="s">
        <v>37</v>
      </c>
      <c r="E57" s="50" t="s">
        <v>40</v>
      </c>
      <c r="F57" s="17" t="s">
        <v>269</v>
      </c>
      <c r="G57" s="17" t="s">
        <v>25</v>
      </c>
      <c r="H57" s="56">
        <v>22.5</v>
      </c>
      <c r="I57" s="56">
        <v>0</v>
      </c>
      <c r="J57" s="56">
        <v>0</v>
      </c>
      <c r="K57" s="53">
        <f>SUM(H57:J57)</f>
        <v>22.5</v>
      </c>
      <c r="L57" s="18"/>
    </row>
    <row r="58" spans="1:12" s="7" customFormat="1" ht="87.75" customHeight="1">
      <c r="A58" s="16" t="s">
        <v>280</v>
      </c>
      <c r="B58" s="31" t="s">
        <v>207</v>
      </c>
      <c r="C58" s="20" t="s">
        <v>103</v>
      </c>
      <c r="D58" s="50" t="s">
        <v>37</v>
      </c>
      <c r="E58" s="50" t="s">
        <v>40</v>
      </c>
      <c r="F58" s="17" t="s">
        <v>200</v>
      </c>
      <c r="G58" s="17" t="s">
        <v>25</v>
      </c>
      <c r="H58" s="56">
        <v>805.47</v>
      </c>
      <c r="I58" s="56">
        <v>0</v>
      </c>
      <c r="J58" s="56">
        <v>0</v>
      </c>
      <c r="K58" s="53">
        <f t="shared" si="1"/>
        <v>805.47</v>
      </c>
      <c r="L58" s="18"/>
    </row>
    <row r="59" spans="1:12" s="7" customFormat="1" ht="86.25" customHeight="1">
      <c r="A59" s="16" t="s">
        <v>281</v>
      </c>
      <c r="B59" s="25" t="s">
        <v>207</v>
      </c>
      <c r="C59" s="20" t="s">
        <v>103</v>
      </c>
      <c r="D59" s="50" t="s">
        <v>37</v>
      </c>
      <c r="E59" s="50" t="s">
        <v>40</v>
      </c>
      <c r="F59" s="17" t="s">
        <v>199</v>
      </c>
      <c r="G59" s="17" t="s">
        <v>25</v>
      </c>
      <c r="H59" s="56">
        <v>148.04</v>
      </c>
      <c r="I59" s="56">
        <v>0</v>
      </c>
      <c r="J59" s="56">
        <v>0</v>
      </c>
      <c r="K59" s="53">
        <f t="shared" si="1"/>
        <v>148.04</v>
      </c>
      <c r="L59" s="18"/>
    </row>
    <row r="60" spans="1:12" s="7" customFormat="1" ht="135" customHeight="1">
      <c r="A60" s="16" t="s">
        <v>282</v>
      </c>
      <c r="B60" s="31" t="s">
        <v>208</v>
      </c>
      <c r="C60" s="20" t="s">
        <v>103</v>
      </c>
      <c r="D60" s="50" t="s">
        <v>37</v>
      </c>
      <c r="E60" s="50" t="s">
        <v>40</v>
      </c>
      <c r="F60" s="17" t="s">
        <v>196</v>
      </c>
      <c r="G60" s="17" t="s">
        <v>25</v>
      </c>
      <c r="H60" s="56">
        <f>9499.4-867.1</f>
        <v>8632.3</v>
      </c>
      <c r="I60" s="56">
        <f>28498.2+562.8</f>
        <v>29061</v>
      </c>
      <c r="J60" s="56">
        <f>28498.2+562.8</f>
        <v>29061</v>
      </c>
      <c r="K60" s="53">
        <f t="shared" si="1"/>
        <v>66754.3</v>
      </c>
      <c r="L60" s="18"/>
    </row>
    <row r="61" spans="1:12" s="3" customFormat="1" ht="90" customHeight="1">
      <c r="A61" s="16" t="s">
        <v>283</v>
      </c>
      <c r="B61" s="17" t="s">
        <v>153</v>
      </c>
      <c r="C61" s="20" t="s">
        <v>103</v>
      </c>
      <c r="D61" s="17"/>
      <c r="E61" s="17"/>
      <c r="F61" s="17"/>
      <c r="G61" s="17"/>
      <c r="H61" s="56">
        <f>21968+767.22+493.21+424.88+64.01+515.7+15+286.66</f>
        <v>24534.68</v>
      </c>
      <c r="I61" s="56">
        <v>22735.22</v>
      </c>
      <c r="J61" s="56">
        <v>22735.22</v>
      </c>
      <c r="K61" s="53">
        <f t="shared" si="1"/>
        <v>70005.12</v>
      </c>
      <c r="L61" s="18"/>
    </row>
    <row r="62" spans="1:12" s="7" customFormat="1" ht="373.5" customHeight="1">
      <c r="A62" s="32" t="s">
        <v>284</v>
      </c>
      <c r="B62" s="17" t="s">
        <v>227</v>
      </c>
      <c r="C62" s="20" t="s">
        <v>103</v>
      </c>
      <c r="D62" s="50" t="s">
        <v>37</v>
      </c>
      <c r="E62" s="36" t="s">
        <v>137</v>
      </c>
      <c r="F62" s="36" t="s">
        <v>163</v>
      </c>
      <c r="G62" s="17" t="s">
        <v>45</v>
      </c>
      <c r="H62" s="52">
        <v>1200</v>
      </c>
      <c r="I62" s="52">
        <v>0</v>
      </c>
      <c r="J62" s="52">
        <v>0</v>
      </c>
      <c r="K62" s="53">
        <f t="shared" si="1"/>
        <v>1200</v>
      </c>
      <c r="L62" s="54" t="s">
        <v>147</v>
      </c>
    </row>
    <row r="63" spans="1:12" s="7" customFormat="1" ht="276.75" customHeight="1">
      <c r="A63" s="32" t="s">
        <v>215</v>
      </c>
      <c r="B63" s="57" t="s">
        <v>164</v>
      </c>
      <c r="C63" s="20" t="s">
        <v>103</v>
      </c>
      <c r="D63" s="50" t="s">
        <v>37</v>
      </c>
      <c r="E63" s="36" t="s">
        <v>137</v>
      </c>
      <c r="F63" s="36" t="s">
        <v>165</v>
      </c>
      <c r="G63" s="17" t="s">
        <v>45</v>
      </c>
      <c r="H63" s="52">
        <f>12+0.12</f>
        <v>12.12</v>
      </c>
      <c r="I63" s="52">
        <v>0</v>
      </c>
      <c r="J63" s="52">
        <v>0</v>
      </c>
      <c r="K63" s="53">
        <f t="shared" si="1"/>
        <v>12.12</v>
      </c>
      <c r="L63" s="54" t="s">
        <v>147</v>
      </c>
    </row>
    <row r="64" spans="1:12" s="7" customFormat="1" ht="212.25" customHeight="1">
      <c r="A64" s="32" t="s">
        <v>216</v>
      </c>
      <c r="B64" s="57" t="s">
        <v>182</v>
      </c>
      <c r="C64" s="20" t="s">
        <v>103</v>
      </c>
      <c r="D64" s="50" t="s">
        <v>37</v>
      </c>
      <c r="E64" s="36" t="s">
        <v>137</v>
      </c>
      <c r="F64" s="36" t="s">
        <v>183</v>
      </c>
      <c r="G64" s="17" t="s">
        <v>45</v>
      </c>
      <c r="H64" s="52">
        <f>1872.9+19</f>
        <v>1891.9</v>
      </c>
      <c r="I64" s="52">
        <f>977.13+9.9</f>
        <v>987.03</v>
      </c>
      <c r="J64" s="52">
        <f>2035.82+20.6</f>
        <v>2056.42</v>
      </c>
      <c r="K64" s="53">
        <f t="shared" si="1"/>
        <v>4935.35</v>
      </c>
      <c r="L64" s="54"/>
    </row>
    <row r="65" spans="1:12" s="7" customFormat="1" ht="158.25" customHeight="1">
      <c r="A65" s="32" t="s">
        <v>217</v>
      </c>
      <c r="B65" s="57" t="s">
        <v>184</v>
      </c>
      <c r="C65" s="20" t="s">
        <v>103</v>
      </c>
      <c r="D65" s="50" t="s">
        <v>37</v>
      </c>
      <c r="E65" s="36" t="s">
        <v>137</v>
      </c>
      <c r="F65" s="36" t="s">
        <v>185</v>
      </c>
      <c r="G65" s="17" t="s">
        <v>45</v>
      </c>
      <c r="H65" s="52">
        <v>0</v>
      </c>
      <c r="I65" s="52">
        <f>3861.69+39.1</f>
        <v>3900.79</v>
      </c>
      <c r="J65" s="52">
        <f>5689.39+57.5</f>
        <v>5746.89</v>
      </c>
      <c r="K65" s="53">
        <f t="shared" si="1"/>
        <v>9647.68</v>
      </c>
      <c r="L65" s="54"/>
    </row>
    <row r="66" spans="1:12" s="7" customFormat="1" ht="129.75" customHeight="1">
      <c r="A66" s="32" t="s">
        <v>257</v>
      </c>
      <c r="B66" s="57" t="s">
        <v>260</v>
      </c>
      <c r="C66" s="20" t="s">
        <v>103</v>
      </c>
      <c r="D66" s="50" t="s">
        <v>37</v>
      </c>
      <c r="E66" s="36" t="s">
        <v>137</v>
      </c>
      <c r="F66" s="36" t="s">
        <v>261</v>
      </c>
      <c r="G66" s="17" t="s">
        <v>45</v>
      </c>
      <c r="H66" s="52">
        <f>352.5+43.2</f>
        <v>395.7</v>
      </c>
      <c r="I66" s="52">
        <v>0</v>
      </c>
      <c r="J66" s="52">
        <v>0</v>
      </c>
      <c r="K66" s="53">
        <f>SUM(H66:J66)</f>
        <v>395.7</v>
      </c>
      <c r="L66" s="54"/>
    </row>
    <row r="67" spans="1:12" s="7" customFormat="1" ht="135.75" customHeight="1">
      <c r="A67" s="32" t="s">
        <v>258</v>
      </c>
      <c r="B67" s="102" t="s">
        <v>230</v>
      </c>
      <c r="C67" s="20" t="s">
        <v>103</v>
      </c>
      <c r="D67" s="50" t="s">
        <v>37</v>
      </c>
      <c r="E67" s="36" t="s">
        <v>137</v>
      </c>
      <c r="F67" s="36" t="s">
        <v>229</v>
      </c>
      <c r="G67" s="17" t="s">
        <v>45</v>
      </c>
      <c r="H67" s="52">
        <f>3+6</f>
        <v>9</v>
      </c>
      <c r="I67" s="52">
        <v>3</v>
      </c>
      <c r="J67" s="52">
        <v>3</v>
      </c>
      <c r="K67" s="53">
        <f t="shared" si="1"/>
        <v>15</v>
      </c>
      <c r="L67" s="54"/>
    </row>
    <row r="68" spans="1:12" s="7" customFormat="1" ht="162.75" customHeight="1">
      <c r="A68" s="32" t="s">
        <v>285</v>
      </c>
      <c r="B68" s="58" t="s">
        <v>186</v>
      </c>
      <c r="C68" s="20" t="s">
        <v>103</v>
      </c>
      <c r="D68" s="50" t="s">
        <v>37</v>
      </c>
      <c r="E68" s="42" t="s">
        <v>187</v>
      </c>
      <c r="F68" s="42" t="s">
        <v>188</v>
      </c>
      <c r="G68" s="17" t="s">
        <v>25</v>
      </c>
      <c r="H68" s="52">
        <v>7405.09</v>
      </c>
      <c r="I68" s="52"/>
      <c r="J68" s="52"/>
      <c r="K68" s="53">
        <f t="shared" si="1"/>
        <v>7405.09</v>
      </c>
      <c r="L68" s="54"/>
    </row>
    <row r="69" spans="1:12" ht="132" customHeight="1">
      <c r="A69" s="47" t="s">
        <v>286</v>
      </c>
      <c r="B69" s="19" t="s">
        <v>136</v>
      </c>
      <c r="C69" s="20" t="s">
        <v>103</v>
      </c>
      <c r="D69" s="16" t="s">
        <v>37</v>
      </c>
      <c r="E69" s="42" t="s">
        <v>134</v>
      </c>
      <c r="F69" s="42" t="s">
        <v>142</v>
      </c>
      <c r="G69" s="17" t="s">
        <v>25</v>
      </c>
      <c r="H69" s="56">
        <v>1000</v>
      </c>
      <c r="I69" s="59"/>
      <c r="J69" s="59"/>
      <c r="K69" s="53">
        <f t="shared" si="1"/>
        <v>1000</v>
      </c>
      <c r="L69" s="54" t="s">
        <v>147</v>
      </c>
    </row>
    <row r="70" spans="1:12" ht="120.75" customHeight="1">
      <c r="A70" s="47" t="s">
        <v>287</v>
      </c>
      <c r="B70" s="19" t="s">
        <v>159</v>
      </c>
      <c r="C70" s="20" t="s">
        <v>103</v>
      </c>
      <c r="D70" s="16" t="s">
        <v>37</v>
      </c>
      <c r="E70" s="42" t="s">
        <v>134</v>
      </c>
      <c r="F70" s="42" t="s">
        <v>142</v>
      </c>
      <c r="G70" s="17" t="s">
        <v>25</v>
      </c>
      <c r="H70" s="59">
        <v>10</v>
      </c>
      <c r="I70" s="59">
        <v>10</v>
      </c>
      <c r="J70" s="59">
        <v>10</v>
      </c>
      <c r="K70" s="53">
        <f t="shared" si="1"/>
        <v>30</v>
      </c>
      <c r="L70" s="36"/>
    </row>
    <row r="71" spans="1:13" s="9" customFormat="1" ht="28.5" customHeight="1">
      <c r="A71" s="138" t="s">
        <v>15</v>
      </c>
      <c r="B71" s="139"/>
      <c r="C71" s="60"/>
      <c r="D71" s="60"/>
      <c r="E71" s="60"/>
      <c r="F71" s="60"/>
      <c r="G71" s="61"/>
      <c r="H71" s="62">
        <f>SUM(H43:H70)</f>
        <v>402039.16</v>
      </c>
      <c r="I71" s="62">
        <f>SUM(I43:I70)</f>
        <v>390289.33</v>
      </c>
      <c r="J71" s="62">
        <f>SUM(J43:J70)</f>
        <v>393175.72000000003</v>
      </c>
      <c r="K71" s="62">
        <f>SUM(K43:K70)</f>
        <v>1185504.2100000002</v>
      </c>
      <c r="L71" s="62">
        <f>SUM(L43:L63)</f>
        <v>0</v>
      </c>
      <c r="M71" s="8"/>
    </row>
    <row r="72" spans="1:13" s="9" customFormat="1" ht="42" customHeight="1">
      <c r="A72" s="140" t="s">
        <v>22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2"/>
      <c r="M72" s="8"/>
    </row>
    <row r="73" spans="1:13" s="9" customFormat="1" ht="166.5" customHeight="1">
      <c r="A73" s="32" t="s">
        <v>23</v>
      </c>
      <c r="B73" s="97" t="s">
        <v>50</v>
      </c>
      <c r="C73" s="20" t="s">
        <v>103</v>
      </c>
      <c r="D73" s="50" t="s">
        <v>37</v>
      </c>
      <c r="E73" s="51" t="s">
        <v>127</v>
      </c>
      <c r="F73" s="51" t="s">
        <v>126</v>
      </c>
      <c r="G73" s="17" t="s">
        <v>25</v>
      </c>
      <c r="H73" s="91">
        <f>11259.05+11.64+321.58+132.25-426.41-1769.18+284.21+832.23+221.78+572.88+45.28-78.79-198.17</f>
        <v>11208.349999999997</v>
      </c>
      <c r="I73" s="91">
        <v>11259.05</v>
      </c>
      <c r="J73" s="91">
        <v>11259.05</v>
      </c>
      <c r="K73" s="63">
        <f aca="true" t="shared" si="2" ref="K73:K94">SUM(H73:J73)</f>
        <v>33726.45</v>
      </c>
      <c r="L73" s="98" t="s">
        <v>102</v>
      </c>
      <c r="M73" s="8"/>
    </row>
    <row r="74" spans="1:13" s="9" customFormat="1" ht="177" customHeight="1">
      <c r="A74" s="32" t="s">
        <v>231</v>
      </c>
      <c r="B74" s="97" t="s">
        <v>249</v>
      </c>
      <c r="C74" s="20" t="s">
        <v>103</v>
      </c>
      <c r="D74" s="50" t="s">
        <v>37</v>
      </c>
      <c r="E74" s="51" t="s">
        <v>127</v>
      </c>
      <c r="F74" s="51" t="s">
        <v>232</v>
      </c>
      <c r="G74" s="17" t="s">
        <v>25</v>
      </c>
      <c r="H74" s="91">
        <f>508.09-117</f>
        <v>391.09</v>
      </c>
      <c r="I74" s="91">
        <v>0</v>
      </c>
      <c r="J74" s="91">
        <v>0</v>
      </c>
      <c r="K74" s="63">
        <f t="shared" si="2"/>
        <v>391.09</v>
      </c>
      <c r="L74" s="98" t="s">
        <v>102</v>
      </c>
      <c r="M74" s="8"/>
    </row>
    <row r="75" spans="1:13" s="9" customFormat="1" ht="128.25" customHeight="1">
      <c r="A75" s="32" t="s">
        <v>179</v>
      </c>
      <c r="B75" s="97" t="s">
        <v>247</v>
      </c>
      <c r="C75" s="20" t="s">
        <v>103</v>
      </c>
      <c r="D75" s="50" t="s">
        <v>37</v>
      </c>
      <c r="E75" s="51" t="s">
        <v>127</v>
      </c>
      <c r="F75" s="51" t="s">
        <v>233</v>
      </c>
      <c r="G75" s="17" t="s">
        <v>25</v>
      </c>
      <c r="H75" s="91">
        <f>1769.18-832.23-221.78</f>
        <v>715.1700000000001</v>
      </c>
      <c r="I75" s="91">
        <v>0</v>
      </c>
      <c r="J75" s="91">
        <v>0</v>
      </c>
      <c r="K75" s="63">
        <f t="shared" si="2"/>
        <v>715.1700000000001</v>
      </c>
      <c r="L75" s="98" t="s">
        <v>102</v>
      </c>
      <c r="M75" s="8"/>
    </row>
    <row r="76" spans="1:13" s="9" customFormat="1" ht="130.5" customHeight="1">
      <c r="A76" s="32" t="s">
        <v>128</v>
      </c>
      <c r="B76" s="97" t="s">
        <v>247</v>
      </c>
      <c r="C76" s="20" t="s">
        <v>103</v>
      </c>
      <c r="D76" s="50" t="s">
        <v>37</v>
      </c>
      <c r="E76" s="51" t="s">
        <v>127</v>
      </c>
      <c r="F76" s="51" t="s">
        <v>234</v>
      </c>
      <c r="G76" s="17" t="s">
        <v>25</v>
      </c>
      <c r="H76" s="91">
        <f>5300.9-1894.1-878.22</f>
        <v>2528.58</v>
      </c>
      <c r="I76" s="91">
        <v>0</v>
      </c>
      <c r="J76" s="91">
        <v>0</v>
      </c>
      <c r="K76" s="63">
        <f t="shared" si="2"/>
        <v>2528.58</v>
      </c>
      <c r="L76" s="98" t="s">
        <v>102</v>
      </c>
      <c r="M76" s="8"/>
    </row>
    <row r="77" spans="1:13" s="9" customFormat="1" ht="93.75" customHeight="1">
      <c r="A77" s="50" t="s">
        <v>253</v>
      </c>
      <c r="B77" s="55" t="s">
        <v>255</v>
      </c>
      <c r="C77" s="20" t="s">
        <v>103</v>
      </c>
      <c r="D77" s="50" t="s">
        <v>37</v>
      </c>
      <c r="E77" s="51" t="s">
        <v>127</v>
      </c>
      <c r="F77" s="51" t="s">
        <v>252</v>
      </c>
      <c r="G77" s="17" t="s">
        <v>45</v>
      </c>
      <c r="H77" s="91">
        <v>181</v>
      </c>
      <c r="I77" s="91">
        <v>0</v>
      </c>
      <c r="J77" s="91">
        <v>0</v>
      </c>
      <c r="K77" s="63">
        <f t="shared" si="2"/>
        <v>181</v>
      </c>
      <c r="L77" s="54"/>
      <c r="M77" s="8"/>
    </row>
    <row r="78" spans="1:13" s="9" customFormat="1" ht="73.5" customHeight="1">
      <c r="A78" s="16" t="s">
        <v>180</v>
      </c>
      <c r="B78" s="25" t="s">
        <v>167</v>
      </c>
      <c r="C78" s="20" t="s">
        <v>103</v>
      </c>
      <c r="D78" s="16" t="s">
        <v>37</v>
      </c>
      <c r="E78" s="16" t="s">
        <v>169</v>
      </c>
      <c r="F78" s="21" t="s">
        <v>166</v>
      </c>
      <c r="G78" s="28" t="s">
        <v>25</v>
      </c>
      <c r="H78" s="22">
        <f>867.81+141.04</f>
        <v>1008.8499999999999</v>
      </c>
      <c r="I78" s="22"/>
      <c r="J78" s="22"/>
      <c r="K78" s="23">
        <f t="shared" si="2"/>
        <v>1008.8499999999999</v>
      </c>
      <c r="L78" s="17"/>
      <c r="M78" s="8"/>
    </row>
    <row r="79" spans="1:13" s="9" customFormat="1" ht="87.75" customHeight="1">
      <c r="A79" s="64" t="s">
        <v>181</v>
      </c>
      <c r="B79" s="25" t="s">
        <v>267</v>
      </c>
      <c r="C79" s="20" t="s">
        <v>103</v>
      </c>
      <c r="D79" s="16" t="s">
        <v>37</v>
      </c>
      <c r="E79" s="16" t="s">
        <v>169</v>
      </c>
      <c r="F79" s="21" t="s">
        <v>265</v>
      </c>
      <c r="G79" s="28" t="s">
        <v>25</v>
      </c>
      <c r="H79" s="22">
        <f>23.71+16.74+28.23</f>
        <v>68.68</v>
      </c>
      <c r="I79" s="22"/>
      <c r="J79" s="22"/>
      <c r="K79" s="23">
        <f>SUM(H79:J79)</f>
        <v>68.68</v>
      </c>
      <c r="L79" s="89"/>
      <c r="M79" s="8"/>
    </row>
    <row r="80" spans="1:13" s="9" customFormat="1" ht="85.5" customHeight="1">
      <c r="A80" s="64" t="s">
        <v>129</v>
      </c>
      <c r="B80" s="25" t="s">
        <v>207</v>
      </c>
      <c r="C80" s="20" t="s">
        <v>103</v>
      </c>
      <c r="D80" s="16" t="s">
        <v>37</v>
      </c>
      <c r="E80" s="16" t="s">
        <v>169</v>
      </c>
      <c r="F80" s="21" t="s">
        <v>197</v>
      </c>
      <c r="G80" s="28" t="s">
        <v>25</v>
      </c>
      <c r="H80" s="22">
        <f>202.51+118.38+227.18-115.71+45.59</f>
        <v>477.94999999999993</v>
      </c>
      <c r="I80" s="22"/>
      <c r="J80" s="22"/>
      <c r="K80" s="23">
        <f t="shared" si="2"/>
        <v>477.94999999999993</v>
      </c>
      <c r="L80" s="89"/>
      <c r="M80" s="8"/>
    </row>
    <row r="81" spans="1:13" s="9" customFormat="1" ht="144" customHeight="1">
      <c r="A81" s="64" t="s">
        <v>218</v>
      </c>
      <c r="B81" s="25" t="s">
        <v>250</v>
      </c>
      <c r="C81" s="20" t="s">
        <v>103</v>
      </c>
      <c r="D81" s="16" t="s">
        <v>37</v>
      </c>
      <c r="E81" s="16" t="s">
        <v>169</v>
      </c>
      <c r="F81" s="21" t="s">
        <v>237</v>
      </c>
      <c r="G81" s="28" t="s">
        <v>25</v>
      </c>
      <c r="H81" s="22">
        <f>115.71-45.58</f>
        <v>70.13</v>
      </c>
      <c r="I81" s="22"/>
      <c r="J81" s="22"/>
      <c r="K81" s="23">
        <f t="shared" si="2"/>
        <v>70.13</v>
      </c>
      <c r="L81" s="89"/>
      <c r="M81" s="8"/>
    </row>
    <row r="82" spans="1:13" s="9" customFormat="1" ht="83.25" customHeight="1">
      <c r="A82" s="64" t="s">
        <v>219</v>
      </c>
      <c r="B82" s="25" t="s">
        <v>267</v>
      </c>
      <c r="C82" s="20" t="s">
        <v>103</v>
      </c>
      <c r="D82" s="16" t="s">
        <v>37</v>
      </c>
      <c r="E82" s="16" t="s">
        <v>169</v>
      </c>
      <c r="F82" s="21" t="s">
        <v>266</v>
      </c>
      <c r="G82" s="28" t="s">
        <v>25</v>
      </c>
      <c r="H82" s="22">
        <f>7.12+2.94+3.57+4.82+2.94+3.57-0.01</f>
        <v>24.950000000000003</v>
      </c>
      <c r="I82" s="22"/>
      <c r="J82" s="22"/>
      <c r="K82" s="23">
        <f>SUM(H82:J82)</f>
        <v>24.950000000000003</v>
      </c>
      <c r="L82" s="89"/>
      <c r="M82" s="8"/>
    </row>
    <row r="83" spans="1:13" s="9" customFormat="1" ht="84.75" customHeight="1">
      <c r="A83" s="64" t="s">
        <v>220</v>
      </c>
      <c r="B83" s="25" t="s">
        <v>207</v>
      </c>
      <c r="C83" s="20" t="s">
        <v>103</v>
      </c>
      <c r="D83" s="16" t="s">
        <v>37</v>
      </c>
      <c r="E83" s="16" t="s">
        <v>169</v>
      </c>
      <c r="F83" s="21" t="s">
        <v>198</v>
      </c>
      <c r="G83" s="28" t="s">
        <v>25</v>
      </c>
      <c r="H83" s="22">
        <f>121.24+30.08-69.21+27.53</f>
        <v>109.64</v>
      </c>
      <c r="I83" s="22"/>
      <c r="J83" s="22"/>
      <c r="K83" s="23">
        <f t="shared" si="2"/>
        <v>109.64</v>
      </c>
      <c r="L83" s="89"/>
      <c r="M83" s="8"/>
    </row>
    <row r="84" spans="1:13" s="9" customFormat="1" ht="146.25" customHeight="1">
      <c r="A84" s="64" t="s">
        <v>221</v>
      </c>
      <c r="B84" s="25" t="s">
        <v>250</v>
      </c>
      <c r="C84" s="20" t="s">
        <v>103</v>
      </c>
      <c r="D84" s="16" t="s">
        <v>37</v>
      </c>
      <c r="E84" s="16" t="s">
        <v>169</v>
      </c>
      <c r="F84" s="21" t="s">
        <v>236</v>
      </c>
      <c r="G84" s="28" t="s">
        <v>25</v>
      </c>
      <c r="H84" s="22">
        <f>69.21-27.54</f>
        <v>41.669999999999995</v>
      </c>
      <c r="I84" s="22"/>
      <c r="J84" s="22"/>
      <c r="K84" s="23">
        <f t="shared" si="2"/>
        <v>41.669999999999995</v>
      </c>
      <c r="L84" s="89"/>
      <c r="M84" s="8"/>
    </row>
    <row r="85" spans="1:13" s="9" customFormat="1" ht="90.75" customHeight="1">
      <c r="A85" s="64" t="s">
        <v>239</v>
      </c>
      <c r="B85" s="25" t="s">
        <v>207</v>
      </c>
      <c r="C85" s="20" t="s">
        <v>103</v>
      </c>
      <c r="D85" s="16" t="s">
        <v>37</v>
      </c>
      <c r="E85" s="16" t="s">
        <v>169</v>
      </c>
      <c r="F85" s="21" t="s">
        <v>201</v>
      </c>
      <c r="G85" s="28" t="s">
        <v>25</v>
      </c>
      <c r="H85" s="22">
        <v>64.62</v>
      </c>
      <c r="I85" s="22"/>
      <c r="J85" s="22"/>
      <c r="K85" s="23">
        <f t="shared" si="2"/>
        <v>64.62</v>
      </c>
      <c r="L85" s="89"/>
      <c r="M85" s="8"/>
    </row>
    <row r="86" spans="1:13" s="9" customFormat="1" ht="99.75" customHeight="1">
      <c r="A86" s="32" t="s">
        <v>240</v>
      </c>
      <c r="B86" s="97" t="s">
        <v>50</v>
      </c>
      <c r="C86" s="20" t="s">
        <v>103</v>
      </c>
      <c r="D86" s="50" t="s">
        <v>37</v>
      </c>
      <c r="E86" s="51" t="s">
        <v>88</v>
      </c>
      <c r="F86" s="51" t="s">
        <v>170</v>
      </c>
      <c r="G86" s="17" t="s">
        <v>25</v>
      </c>
      <c r="H86" s="91">
        <f>14773.04-11.07-5300.9+1894.1+878.22+80.26</f>
        <v>12313.650000000001</v>
      </c>
      <c r="I86" s="91">
        <v>14773.04</v>
      </c>
      <c r="J86" s="91">
        <v>14773.04</v>
      </c>
      <c r="K86" s="63">
        <f t="shared" si="2"/>
        <v>41859.73</v>
      </c>
      <c r="L86" s="98" t="s">
        <v>102</v>
      </c>
      <c r="M86" s="8"/>
    </row>
    <row r="87" spans="1:13" s="9" customFormat="1" ht="101.25" customHeight="1">
      <c r="A87" s="32" t="s">
        <v>241</v>
      </c>
      <c r="B87" s="99" t="s">
        <v>50</v>
      </c>
      <c r="C87" s="20" t="s">
        <v>103</v>
      </c>
      <c r="D87" s="50" t="s">
        <v>37</v>
      </c>
      <c r="E87" s="51" t="s">
        <v>88</v>
      </c>
      <c r="F87" s="51" t="s">
        <v>171</v>
      </c>
      <c r="G87" s="17" t="s">
        <v>25</v>
      </c>
      <c r="H87" s="91">
        <f>517.79+11.07+36.74</f>
        <v>565.6</v>
      </c>
      <c r="I87" s="91">
        <v>517.79</v>
      </c>
      <c r="J87" s="91">
        <v>517.79</v>
      </c>
      <c r="K87" s="63">
        <f t="shared" si="2"/>
        <v>1601.1799999999998</v>
      </c>
      <c r="L87" s="100" t="s">
        <v>102</v>
      </c>
      <c r="M87" s="8"/>
    </row>
    <row r="88" spans="1:12" ht="144.75" customHeight="1">
      <c r="A88" s="32" t="s">
        <v>242</v>
      </c>
      <c r="B88" s="30" t="s">
        <v>53</v>
      </c>
      <c r="C88" s="20" t="s">
        <v>103</v>
      </c>
      <c r="D88" s="32" t="s">
        <v>37</v>
      </c>
      <c r="E88" s="64" t="s">
        <v>89</v>
      </c>
      <c r="F88" s="17" t="s">
        <v>114</v>
      </c>
      <c r="G88" s="17" t="s">
        <v>25</v>
      </c>
      <c r="H88" s="22">
        <f>11185.36-121.67-64.61-30.09-48.15-81.69-1796.45+0.01+757.52-14.24-5.88-7.14+175.77-1134.12+65.1+0.01+0.04</f>
        <v>8879.770000000004</v>
      </c>
      <c r="I88" s="22">
        <v>11185.36</v>
      </c>
      <c r="J88" s="22">
        <v>11185.36</v>
      </c>
      <c r="K88" s="63">
        <f t="shared" si="2"/>
        <v>31250.490000000005</v>
      </c>
      <c r="L88" s="18" t="s">
        <v>44</v>
      </c>
    </row>
    <row r="89" spans="1:12" ht="216" customHeight="1">
      <c r="A89" s="32" t="s">
        <v>243</v>
      </c>
      <c r="B89" s="30" t="s">
        <v>248</v>
      </c>
      <c r="C89" s="20" t="s">
        <v>103</v>
      </c>
      <c r="D89" s="32" t="s">
        <v>37</v>
      </c>
      <c r="E89" s="64" t="s">
        <v>89</v>
      </c>
      <c r="F89" s="17" t="s">
        <v>235</v>
      </c>
      <c r="G89" s="17" t="s">
        <v>25</v>
      </c>
      <c r="H89" s="22">
        <f>1796.45-757.52</f>
        <v>1038.93</v>
      </c>
      <c r="I89" s="22">
        <f>11185.36-11185.36</f>
        <v>0</v>
      </c>
      <c r="J89" s="22">
        <f>11185.36-11185.36</f>
        <v>0</v>
      </c>
      <c r="K89" s="63">
        <f t="shared" si="2"/>
        <v>1038.93</v>
      </c>
      <c r="L89" s="18" t="s">
        <v>44</v>
      </c>
    </row>
    <row r="90" spans="1:12" ht="145.5" customHeight="1">
      <c r="A90" s="32" t="s">
        <v>244</v>
      </c>
      <c r="B90" s="30" t="s">
        <v>53</v>
      </c>
      <c r="C90" s="20" t="s">
        <v>103</v>
      </c>
      <c r="D90" s="32" t="s">
        <v>37</v>
      </c>
      <c r="E90" s="64" t="s">
        <v>89</v>
      </c>
      <c r="F90" s="17" t="s">
        <v>204</v>
      </c>
      <c r="G90" s="17" t="s">
        <v>25</v>
      </c>
      <c r="H90" s="22">
        <f>130.2-130.2</f>
        <v>0</v>
      </c>
      <c r="I90" s="22">
        <v>0</v>
      </c>
      <c r="J90" s="22">
        <v>0</v>
      </c>
      <c r="K90" s="63">
        <f t="shared" si="2"/>
        <v>0</v>
      </c>
      <c r="L90" s="18" t="s">
        <v>44</v>
      </c>
    </row>
    <row r="91" spans="1:12" s="8" customFormat="1" ht="99" customHeight="1">
      <c r="A91" s="32" t="s">
        <v>245</v>
      </c>
      <c r="B91" s="54" t="s">
        <v>57</v>
      </c>
      <c r="C91" s="20" t="s">
        <v>103</v>
      </c>
      <c r="D91" s="32" t="s">
        <v>37</v>
      </c>
      <c r="E91" s="64" t="s">
        <v>90</v>
      </c>
      <c r="F91" s="17" t="s">
        <v>115</v>
      </c>
      <c r="G91" s="17" t="s">
        <v>25</v>
      </c>
      <c r="H91" s="65">
        <v>27</v>
      </c>
      <c r="I91" s="65">
        <v>27</v>
      </c>
      <c r="J91" s="65">
        <v>27</v>
      </c>
      <c r="K91" s="63">
        <f t="shared" si="2"/>
        <v>81</v>
      </c>
      <c r="L91" s="54" t="s">
        <v>36</v>
      </c>
    </row>
    <row r="92" spans="1:12" ht="117" customHeight="1">
      <c r="A92" s="32" t="s">
        <v>254</v>
      </c>
      <c r="B92" s="90" t="s">
        <v>99</v>
      </c>
      <c r="C92" s="20" t="s">
        <v>103</v>
      </c>
      <c r="D92" s="32" t="s">
        <v>37</v>
      </c>
      <c r="E92" s="64" t="s">
        <v>90</v>
      </c>
      <c r="F92" s="21" t="s">
        <v>189</v>
      </c>
      <c r="G92" s="17" t="s">
        <v>25</v>
      </c>
      <c r="H92" s="65">
        <f>1595.5-402.82+177.28+667.8</f>
        <v>2037.76</v>
      </c>
      <c r="I92" s="65">
        <v>0</v>
      </c>
      <c r="J92" s="65">
        <v>0</v>
      </c>
      <c r="K92" s="63">
        <f t="shared" si="2"/>
        <v>2037.76</v>
      </c>
      <c r="L92" s="54" t="s">
        <v>106</v>
      </c>
    </row>
    <row r="93" spans="1:12" ht="213" customHeight="1">
      <c r="A93" s="32" t="s">
        <v>288</v>
      </c>
      <c r="B93" s="90" t="s">
        <v>251</v>
      </c>
      <c r="C93" s="20" t="s">
        <v>103</v>
      </c>
      <c r="D93" s="32" t="s">
        <v>37</v>
      </c>
      <c r="E93" s="64" t="s">
        <v>90</v>
      </c>
      <c r="F93" s="21" t="s">
        <v>238</v>
      </c>
      <c r="G93" s="17" t="s">
        <v>25</v>
      </c>
      <c r="H93" s="65">
        <f>402.82-177.28</f>
        <v>225.54</v>
      </c>
      <c r="I93" s="65">
        <v>0</v>
      </c>
      <c r="J93" s="65">
        <v>0</v>
      </c>
      <c r="K93" s="63">
        <f t="shared" si="2"/>
        <v>225.54</v>
      </c>
      <c r="L93" s="54" t="s">
        <v>106</v>
      </c>
    </row>
    <row r="94" spans="1:13" ht="80.25" customHeight="1">
      <c r="A94" s="32" t="s">
        <v>289</v>
      </c>
      <c r="B94" s="54" t="s">
        <v>154</v>
      </c>
      <c r="C94" s="20" t="s">
        <v>103</v>
      </c>
      <c r="D94" s="32" t="s">
        <v>37</v>
      </c>
      <c r="E94" s="32"/>
      <c r="F94" s="101"/>
      <c r="G94" s="89"/>
      <c r="H94" s="65">
        <f>1602.08+1033.78+395.3+150+1143.84</f>
        <v>4325</v>
      </c>
      <c r="I94" s="65">
        <v>1602.08</v>
      </c>
      <c r="J94" s="65">
        <v>1602.08</v>
      </c>
      <c r="K94" s="63">
        <f t="shared" si="2"/>
        <v>7529.16</v>
      </c>
      <c r="L94" s="54"/>
      <c r="M94" s="6"/>
    </row>
    <row r="95" spans="1:12" s="8" customFormat="1" ht="36.75" customHeight="1">
      <c r="A95" s="66"/>
      <c r="B95" s="67" t="s">
        <v>27</v>
      </c>
      <c r="C95" s="67"/>
      <c r="D95" s="68"/>
      <c r="E95" s="68"/>
      <c r="F95" s="68"/>
      <c r="G95" s="68"/>
      <c r="H95" s="92">
        <f>SUM(H73:H94)</f>
        <v>46303.93</v>
      </c>
      <c r="I95" s="92">
        <f>SUM(I73:I94)</f>
        <v>39364.32000000001</v>
      </c>
      <c r="J95" s="92">
        <f>SUM(J73:J94)</f>
        <v>39364.32000000001</v>
      </c>
      <c r="K95" s="92">
        <f>SUM(K73:K94)</f>
        <v>125032.56999999996</v>
      </c>
      <c r="L95" s="67"/>
    </row>
    <row r="96" spans="1:12" s="8" customFormat="1" ht="54.75" customHeight="1">
      <c r="A96" s="124" t="s">
        <v>32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6"/>
    </row>
    <row r="97" spans="1:12" s="8" customFormat="1" ht="132.75" customHeight="1">
      <c r="A97" s="32" t="s">
        <v>81</v>
      </c>
      <c r="B97" s="35" t="s">
        <v>193</v>
      </c>
      <c r="C97" s="20" t="s">
        <v>103</v>
      </c>
      <c r="D97" s="50" t="s">
        <v>37</v>
      </c>
      <c r="E97" s="51" t="s">
        <v>192</v>
      </c>
      <c r="F97" s="36" t="s">
        <v>116</v>
      </c>
      <c r="G97" s="17" t="s">
        <v>25</v>
      </c>
      <c r="H97" s="24">
        <f>1200-334.4-210.06</f>
        <v>655.54</v>
      </c>
      <c r="I97" s="24">
        <v>1200</v>
      </c>
      <c r="J97" s="24">
        <v>1200</v>
      </c>
      <c r="K97" s="69">
        <f aca="true" t="shared" si="3" ref="K97:K104">SUM(H97:J97)</f>
        <v>3055.54</v>
      </c>
      <c r="L97" s="70" t="s">
        <v>155</v>
      </c>
    </row>
    <row r="98" spans="1:12" s="8" customFormat="1" ht="126.75" customHeight="1">
      <c r="A98" s="32" t="s">
        <v>82</v>
      </c>
      <c r="B98" s="35" t="s">
        <v>95</v>
      </c>
      <c r="C98" s="20" t="s">
        <v>103</v>
      </c>
      <c r="D98" s="50" t="s">
        <v>37</v>
      </c>
      <c r="E98" s="51" t="s">
        <v>138</v>
      </c>
      <c r="F98" s="36" t="s">
        <v>117</v>
      </c>
      <c r="G98" s="17" t="s">
        <v>25</v>
      </c>
      <c r="H98" s="22">
        <f>1200+725-487.98</f>
        <v>1437.02</v>
      </c>
      <c r="I98" s="22">
        <v>1200</v>
      </c>
      <c r="J98" s="22">
        <v>1200</v>
      </c>
      <c r="K98" s="69">
        <f t="shared" si="3"/>
        <v>3837.02</v>
      </c>
      <c r="L98" s="70" t="s">
        <v>156</v>
      </c>
    </row>
    <row r="99" spans="1:12" s="8" customFormat="1" ht="133.5" customHeight="1">
      <c r="A99" s="32" t="s">
        <v>222</v>
      </c>
      <c r="B99" s="36" t="s">
        <v>228</v>
      </c>
      <c r="C99" s="20" t="s">
        <v>103</v>
      </c>
      <c r="D99" s="50" t="s">
        <v>37</v>
      </c>
      <c r="E99" s="50" t="s">
        <v>40</v>
      </c>
      <c r="F99" s="36" t="s">
        <v>225</v>
      </c>
      <c r="G99" s="17" t="s">
        <v>25</v>
      </c>
      <c r="H99" s="71">
        <f>2235.46+0.05</f>
        <v>2235.51</v>
      </c>
      <c r="I99" s="71">
        <v>0</v>
      </c>
      <c r="J99" s="71">
        <v>0</v>
      </c>
      <c r="K99" s="69">
        <f>SUM(H99:J99)</f>
        <v>2235.51</v>
      </c>
      <c r="L99" s="70" t="s">
        <v>226</v>
      </c>
    </row>
    <row r="100" spans="1:12" s="8" customFormat="1" ht="144.75" customHeight="1">
      <c r="A100" s="32" t="s">
        <v>139</v>
      </c>
      <c r="B100" s="35" t="s">
        <v>209</v>
      </c>
      <c r="C100" s="20" t="s">
        <v>103</v>
      </c>
      <c r="D100" s="50" t="s">
        <v>37</v>
      </c>
      <c r="E100" s="50" t="s">
        <v>40</v>
      </c>
      <c r="F100" s="36" t="s">
        <v>205</v>
      </c>
      <c r="G100" s="17" t="s">
        <v>25</v>
      </c>
      <c r="H100" s="71">
        <v>22.58</v>
      </c>
      <c r="I100" s="71">
        <v>0</v>
      </c>
      <c r="J100" s="71">
        <v>0</v>
      </c>
      <c r="K100" s="69">
        <f>SUM(H100:J100)</f>
        <v>22.58</v>
      </c>
      <c r="L100" s="70" t="s">
        <v>226</v>
      </c>
    </row>
    <row r="101" spans="1:12" s="8" customFormat="1" ht="241.5" customHeight="1">
      <c r="A101" s="32" t="s">
        <v>132</v>
      </c>
      <c r="B101" s="55" t="s">
        <v>210</v>
      </c>
      <c r="C101" s="20" t="s">
        <v>103</v>
      </c>
      <c r="D101" s="50" t="s">
        <v>37</v>
      </c>
      <c r="E101" s="50" t="s">
        <v>40</v>
      </c>
      <c r="F101" s="36" t="s">
        <v>194</v>
      </c>
      <c r="G101" s="17" t="s">
        <v>25</v>
      </c>
      <c r="H101" s="71">
        <f>3000-991.8</f>
        <v>2008.2</v>
      </c>
      <c r="I101" s="71">
        <v>0</v>
      </c>
      <c r="J101" s="71">
        <v>0</v>
      </c>
      <c r="K101" s="69">
        <f t="shared" si="3"/>
        <v>2008.2</v>
      </c>
      <c r="L101" s="70" t="s">
        <v>148</v>
      </c>
    </row>
    <row r="102" spans="1:12" s="8" customFormat="1" ht="161.25" customHeight="1">
      <c r="A102" s="32" t="s">
        <v>223</v>
      </c>
      <c r="B102" s="55" t="s">
        <v>60</v>
      </c>
      <c r="C102" s="20" t="s">
        <v>103</v>
      </c>
      <c r="D102" s="50" t="s">
        <v>37</v>
      </c>
      <c r="E102" s="50" t="s">
        <v>40</v>
      </c>
      <c r="F102" s="36" t="s">
        <v>105</v>
      </c>
      <c r="G102" s="17" t="s">
        <v>25</v>
      </c>
      <c r="H102" s="71">
        <f>90.3-22.58-37.42</f>
        <v>30.299999999999997</v>
      </c>
      <c r="I102" s="71">
        <v>90.3</v>
      </c>
      <c r="J102" s="71">
        <v>90.3</v>
      </c>
      <c r="K102" s="69">
        <f t="shared" si="3"/>
        <v>210.89999999999998</v>
      </c>
      <c r="L102" s="70" t="s">
        <v>148</v>
      </c>
    </row>
    <row r="103" spans="1:12" ht="236.25">
      <c r="A103" s="32" t="s">
        <v>224</v>
      </c>
      <c r="B103" s="35" t="s">
        <v>190</v>
      </c>
      <c r="C103" s="20" t="s">
        <v>103</v>
      </c>
      <c r="D103" s="50" t="s">
        <v>37</v>
      </c>
      <c r="E103" s="50" t="s">
        <v>40</v>
      </c>
      <c r="F103" s="36" t="s">
        <v>118</v>
      </c>
      <c r="G103" s="17" t="s">
        <v>25</v>
      </c>
      <c r="H103" s="24">
        <v>1815</v>
      </c>
      <c r="I103" s="24">
        <v>2117.5</v>
      </c>
      <c r="J103" s="24">
        <v>2420</v>
      </c>
      <c r="K103" s="69">
        <f t="shared" si="3"/>
        <v>6352.5</v>
      </c>
      <c r="L103" s="35" t="s">
        <v>46</v>
      </c>
    </row>
    <row r="104" spans="1:13" ht="162" customHeight="1">
      <c r="A104" s="32" t="s">
        <v>246</v>
      </c>
      <c r="B104" s="35" t="s">
        <v>191</v>
      </c>
      <c r="C104" s="20" t="s">
        <v>103</v>
      </c>
      <c r="D104" s="50" t="s">
        <v>37</v>
      </c>
      <c r="E104" s="50" t="s">
        <v>40</v>
      </c>
      <c r="F104" s="36" t="s">
        <v>133</v>
      </c>
      <c r="G104" s="17" t="s">
        <v>25</v>
      </c>
      <c r="H104" s="24">
        <f>18.15+0.18</f>
        <v>18.33</v>
      </c>
      <c r="I104" s="24">
        <v>18.15</v>
      </c>
      <c r="J104" s="24">
        <v>18.15</v>
      </c>
      <c r="K104" s="69">
        <f t="shared" si="3"/>
        <v>54.629999999999995</v>
      </c>
      <c r="L104" s="35" t="s">
        <v>46</v>
      </c>
      <c r="M104" s="6"/>
    </row>
    <row r="105" spans="1:12" ht="42" customHeight="1">
      <c r="A105" s="67"/>
      <c r="B105" s="67" t="s">
        <v>41</v>
      </c>
      <c r="C105" s="67"/>
      <c r="D105" s="67"/>
      <c r="E105" s="67"/>
      <c r="F105" s="67"/>
      <c r="G105" s="67"/>
      <c r="H105" s="72">
        <f>SUM(H97:H104)</f>
        <v>8222.48</v>
      </c>
      <c r="I105" s="72">
        <f>SUM(I97:I104)</f>
        <v>4625.95</v>
      </c>
      <c r="J105" s="72">
        <f>SUM(J97:J104)</f>
        <v>4928.45</v>
      </c>
      <c r="K105" s="72">
        <f>SUM(K97:K104)</f>
        <v>17776.88</v>
      </c>
      <c r="L105" s="72">
        <f>SUM(L97:L104)</f>
        <v>0</v>
      </c>
    </row>
    <row r="106" spans="1:12" ht="56.25" customHeight="1">
      <c r="A106" s="124" t="s">
        <v>157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</row>
    <row r="107" spans="1:12" s="8" customFormat="1" ht="130.5" customHeight="1">
      <c r="A107" s="73" t="s">
        <v>83</v>
      </c>
      <c r="B107" s="74" t="s">
        <v>28</v>
      </c>
      <c r="C107" s="20" t="s">
        <v>103</v>
      </c>
      <c r="D107" s="50" t="s">
        <v>37</v>
      </c>
      <c r="E107" s="50" t="s">
        <v>40</v>
      </c>
      <c r="F107" s="75" t="s">
        <v>101</v>
      </c>
      <c r="G107" s="17" t="s">
        <v>25</v>
      </c>
      <c r="H107" s="37"/>
      <c r="I107" s="37"/>
      <c r="J107" s="37"/>
      <c r="K107" s="38">
        <f>SUM(H107:J107)</f>
        <v>0</v>
      </c>
      <c r="L107" s="74" t="s">
        <v>84</v>
      </c>
    </row>
    <row r="108" spans="1:12" ht="25.5" customHeight="1">
      <c r="A108" s="67"/>
      <c r="B108" s="67" t="s">
        <v>34</v>
      </c>
      <c r="C108" s="67"/>
      <c r="D108" s="67"/>
      <c r="E108" s="67"/>
      <c r="F108" s="67"/>
      <c r="G108" s="67"/>
      <c r="H108" s="72">
        <f>SUM(H107:H107)</f>
        <v>0</v>
      </c>
      <c r="I108" s="72">
        <f>SUM(I107:I107)</f>
        <v>0</v>
      </c>
      <c r="J108" s="72">
        <f>SUM(J107:J107)</f>
        <v>0</v>
      </c>
      <c r="K108" s="72">
        <f>SUM(K107:K107)</f>
        <v>0</v>
      </c>
      <c r="L108" s="67"/>
    </row>
    <row r="109" spans="1:12" ht="39.75" customHeight="1">
      <c r="A109" s="124" t="s">
        <v>87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6"/>
    </row>
    <row r="110" spans="1:12" ht="94.5">
      <c r="A110" s="76" t="s">
        <v>85</v>
      </c>
      <c r="B110" s="74" t="s">
        <v>29</v>
      </c>
      <c r="C110" s="20" t="s">
        <v>103</v>
      </c>
      <c r="D110" s="32" t="s">
        <v>37</v>
      </c>
      <c r="E110" s="32" t="s">
        <v>40</v>
      </c>
      <c r="F110" s="47" t="s">
        <v>35</v>
      </c>
      <c r="G110" s="17" t="s">
        <v>25</v>
      </c>
      <c r="H110" s="22">
        <v>0</v>
      </c>
      <c r="I110" s="22">
        <v>0</v>
      </c>
      <c r="J110" s="22"/>
      <c r="K110" s="23">
        <f>SUM(H110:J110)</f>
        <v>0</v>
      </c>
      <c r="L110" s="74" t="s">
        <v>30</v>
      </c>
    </row>
    <row r="111" spans="1:12" ht="59.25" customHeight="1">
      <c r="A111" s="77" t="s">
        <v>86</v>
      </c>
      <c r="B111" s="70" t="s">
        <v>31</v>
      </c>
      <c r="C111" s="20" t="s">
        <v>103</v>
      </c>
      <c r="D111" s="32" t="s">
        <v>37</v>
      </c>
      <c r="E111" s="77"/>
      <c r="F111" s="77"/>
      <c r="G111" s="77" t="s">
        <v>0</v>
      </c>
      <c r="H111" s="78"/>
      <c r="I111" s="78"/>
      <c r="J111" s="78"/>
      <c r="K111" s="23">
        <f>SUM(H111:J111)</f>
        <v>0</v>
      </c>
      <c r="L111" s="70" t="s">
        <v>158</v>
      </c>
    </row>
    <row r="112" spans="1:12" ht="31.5" customHeight="1">
      <c r="A112" s="61"/>
      <c r="B112" s="79" t="s">
        <v>33</v>
      </c>
      <c r="C112" s="79"/>
      <c r="D112" s="61"/>
      <c r="E112" s="61"/>
      <c r="F112" s="61"/>
      <c r="G112" s="61"/>
      <c r="H112" s="62">
        <f>SUM(H110:H111)</f>
        <v>0</v>
      </c>
      <c r="I112" s="62">
        <f>SUM(I110:I111)</f>
        <v>0</v>
      </c>
      <c r="J112" s="62">
        <f>SUM(J110:J111)</f>
        <v>0</v>
      </c>
      <c r="K112" s="62">
        <f>SUM(K110:K111)</f>
        <v>0</v>
      </c>
      <c r="L112" s="61"/>
    </row>
    <row r="113" spans="1:12" ht="15.75">
      <c r="A113" s="80"/>
      <c r="B113" s="61" t="s">
        <v>16</v>
      </c>
      <c r="C113" s="61"/>
      <c r="D113" s="61"/>
      <c r="E113" s="61"/>
      <c r="F113" s="61"/>
      <c r="G113" s="61"/>
      <c r="H113" s="62">
        <f>H30+H33+H37+H41+H71+H95+H105+H108+H112</f>
        <v>829508.97</v>
      </c>
      <c r="I113" s="62">
        <f>I30+I33+I37+I41+I71+I95+I105+I108+I112</f>
        <v>787468.3399999999</v>
      </c>
      <c r="J113" s="62">
        <f>J30+J33+J37+J41+J71+J95+J105+J108+J112</f>
        <v>790657.23</v>
      </c>
      <c r="K113" s="62">
        <f>K30+K33+K37+K41+K71+K95+K105+K108+K112</f>
        <v>2407634.5399999996</v>
      </c>
      <c r="L113" s="61"/>
    </row>
    <row r="114" spans="1:12" ht="15.75" hidden="1">
      <c r="A114" s="81"/>
      <c r="B114" s="81" t="s">
        <v>161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1:12" ht="15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1:12" ht="15.75">
      <c r="A116" s="82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</row>
    <row r="117" spans="1:12" ht="15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</row>
    <row r="118" spans="1:12" ht="15">
      <c r="A118" s="8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</row>
  </sheetData>
  <sheetProtection/>
  <mergeCells count="30">
    <mergeCell ref="A109:L109"/>
    <mergeCell ref="B116:L116"/>
    <mergeCell ref="A31:L31"/>
    <mergeCell ref="A30:C30"/>
    <mergeCell ref="A38:L38"/>
    <mergeCell ref="A42:L42"/>
    <mergeCell ref="A71:B71"/>
    <mergeCell ref="A72:L72"/>
    <mergeCell ref="A96:L96"/>
    <mergeCell ref="A106:L106"/>
    <mergeCell ref="A34:L34"/>
    <mergeCell ref="A15:L15"/>
    <mergeCell ref="A8:L8"/>
    <mergeCell ref="A9:L9"/>
    <mergeCell ref="A11:L11"/>
    <mergeCell ref="K12:K13"/>
    <mergeCell ref="H12:J12"/>
    <mergeCell ref="A14:L14"/>
    <mergeCell ref="B12:B13"/>
    <mergeCell ref="L12:L13"/>
    <mergeCell ref="F2:L2"/>
    <mergeCell ref="A1:L1"/>
    <mergeCell ref="A7:L7"/>
    <mergeCell ref="A12:A13"/>
    <mergeCell ref="D12:G12"/>
    <mergeCell ref="K6:L6"/>
    <mergeCell ref="A10:L10"/>
    <mergeCell ref="A3:L3"/>
    <mergeCell ref="A4:L4"/>
    <mergeCell ref="A5:L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1" r:id="rId1"/>
  <rowBreaks count="2" manualBreakCount="2">
    <brk id="42" max="12" man="1"/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2020-10-29T01:45:55Z</cp:lastPrinted>
  <dcterms:created xsi:type="dcterms:W3CDTF">2010-09-05T13:57:35Z</dcterms:created>
  <dcterms:modified xsi:type="dcterms:W3CDTF">2020-12-02T10:05:35Z</dcterms:modified>
  <cp:category/>
  <cp:version/>
  <cp:contentType/>
  <cp:contentStatus/>
</cp:coreProperties>
</file>