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№1" sheetId="2" r:id="rId1"/>
    <sheet name="Приложение №2" sheetId="3" r:id="rId2"/>
    <sheet name="приложение №3" sheetId="4" r:id="rId3"/>
  </sheets>
  <externalReferences>
    <externalReference r:id="rId4"/>
  </externalReferences>
  <definedNames>
    <definedName name="_xlnm._FilterDatabase" localSheetId="0" hidden="1">'Приложение №1'!$A$6:$M$157</definedName>
    <definedName name="_xlnm.Print_Titles" localSheetId="0">'Приложение №1'!$6:$7</definedName>
    <definedName name="_xlnm.Print_Titles" localSheetId="1">'Приложение №2'!$6:$7</definedName>
    <definedName name="_xlnm.Print_Titles" localSheetId="2">'приложение №3'!$6:$7</definedName>
    <definedName name="_xlnm.Print_Area" localSheetId="0">'Приложение №1'!$A$1:$M$200</definedName>
    <definedName name="_xlnm.Print_Area" localSheetId="1">'Приложение №2'!$A$1:$I$348</definedName>
    <definedName name="_xlnm.Print_Area" localSheetId="2">'приложение №3'!$A$1:$M$46</definedName>
  </definedNames>
  <calcPr calcId="152511"/>
</workbook>
</file>

<file path=xl/calcChain.xml><?xml version="1.0" encoding="utf-8"?>
<calcChain xmlns="http://schemas.openxmlformats.org/spreadsheetml/2006/main">
  <c r="I41" i="4" l="1"/>
  <c r="H41" i="4"/>
  <c r="B40" i="4"/>
  <c r="H39" i="4"/>
  <c r="B39" i="4"/>
  <c r="I38" i="4"/>
  <c r="H38" i="4"/>
  <c r="B38" i="4"/>
  <c r="L36" i="4"/>
  <c r="L35" i="4"/>
  <c r="L34" i="4"/>
  <c r="H34" i="4"/>
  <c r="L33" i="4"/>
  <c r="L32" i="4"/>
  <c r="L31" i="4"/>
  <c r="H31" i="4"/>
  <c r="J30" i="4"/>
  <c r="K30" i="4" s="1"/>
  <c r="I30" i="4"/>
  <c r="G30" i="4"/>
  <c r="L30" i="4" s="1"/>
  <c r="I29" i="4"/>
  <c r="K28" i="4"/>
  <c r="K41" i="4" s="1"/>
  <c r="J28" i="4"/>
  <c r="J41" i="4" s="1"/>
  <c r="G28" i="4"/>
  <c r="L28" i="4" s="1"/>
  <c r="L27" i="4"/>
  <c r="L26" i="4"/>
  <c r="K25" i="4"/>
  <c r="J25" i="4"/>
  <c r="I25" i="4"/>
  <c r="L25" i="4" s="1"/>
  <c r="I24" i="4"/>
  <c r="J24" i="4" s="1"/>
  <c r="K24" i="4" s="1"/>
  <c r="G24" i="4"/>
  <c r="L24" i="4" s="1"/>
  <c r="H23" i="4"/>
  <c r="H40" i="4" s="1"/>
  <c r="H37" i="4" s="1"/>
  <c r="G23" i="4"/>
  <c r="J22" i="4"/>
  <c r="K22" i="4" s="1"/>
  <c r="I22" i="4"/>
  <c r="G22" i="4"/>
  <c r="L22" i="4" s="1"/>
  <c r="I21" i="4"/>
  <c r="J21" i="4" s="1"/>
  <c r="K21" i="4" s="1"/>
  <c r="G21" i="4"/>
  <c r="L20" i="4"/>
  <c r="G20" i="4"/>
  <c r="K19" i="4"/>
  <c r="J19" i="4"/>
  <c r="I19" i="4"/>
  <c r="G19" i="4"/>
  <c r="L19" i="4" s="1"/>
  <c r="I18" i="4"/>
  <c r="J18" i="4" s="1"/>
  <c r="K18" i="4" s="1"/>
  <c r="G18" i="4"/>
  <c r="K17" i="4"/>
  <c r="J17" i="4"/>
  <c r="I17" i="4"/>
  <c r="G17" i="4"/>
  <c r="L17" i="4" s="1"/>
  <c r="K16" i="4"/>
  <c r="J16" i="4"/>
  <c r="G16" i="4"/>
  <c r="L16" i="4" s="1"/>
  <c r="I15" i="4"/>
  <c r="J15" i="4" s="1"/>
  <c r="K15" i="4" s="1"/>
  <c r="G15" i="4"/>
  <c r="L15" i="4" s="1"/>
  <c r="J14" i="4"/>
  <c r="K14" i="4" s="1"/>
  <c r="I14" i="4"/>
  <c r="G14" i="4"/>
  <c r="L14" i="4" s="1"/>
  <c r="K13" i="4"/>
  <c r="J13" i="4"/>
  <c r="I13" i="4"/>
  <c r="G13" i="4"/>
  <c r="L13" i="4" s="1"/>
  <c r="J12" i="4"/>
  <c r="J38" i="4" s="1"/>
  <c r="I12" i="4"/>
  <c r="G12" i="4"/>
  <c r="G38" i="4" s="1"/>
  <c r="I11" i="4"/>
  <c r="I39" i="4" s="1"/>
  <c r="G11" i="4"/>
  <c r="G39" i="4" s="1"/>
  <c r="J10" i="4"/>
  <c r="I10" i="4"/>
  <c r="G10" i="4"/>
  <c r="G40" i="4" s="1"/>
  <c r="G9" i="4"/>
  <c r="H342" i="3"/>
  <c r="G342" i="3"/>
  <c r="F342" i="3"/>
  <c r="E342" i="3"/>
  <c r="D342" i="3"/>
  <c r="I342" i="3" s="1"/>
  <c r="H337" i="3"/>
  <c r="G337" i="3"/>
  <c r="F337" i="3"/>
  <c r="E337" i="3"/>
  <c r="D337" i="3"/>
  <c r="I337" i="3" s="1"/>
  <c r="H335" i="3"/>
  <c r="G335" i="3"/>
  <c r="F335" i="3"/>
  <c r="E335" i="3"/>
  <c r="D335" i="3"/>
  <c r="I335" i="3" s="1"/>
  <c r="H330" i="3"/>
  <c r="G330" i="3"/>
  <c r="F330" i="3"/>
  <c r="E330" i="3"/>
  <c r="D330" i="3"/>
  <c r="I330" i="3" s="1"/>
  <c r="H328" i="3"/>
  <c r="G328" i="3"/>
  <c r="F328" i="3"/>
  <c r="E328" i="3"/>
  <c r="D328" i="3"/>
  <c r="I328" i="3" s="1"/>
  <c r="H323" i="3"/>
  <c r="G323" i="3"/>
  <c r="F323" i="3"/>
  <c r="E323" i="3"/>
  <c r="D323" i="3"/>
  <c r="I323" i="3" s="1"/>
  <c r="H321" i="3"/>
  <c r="G321" i="3"/>
  <c r="F321" i="3"/>
  <c r="E321" i="3"/>
  <c r="D321" i="3"/>
  <c r="I321" i="3" s="1"/>
  <c r="H316" i="3"/>
  <c r="G316" i="3"/>
  <c r="F316" i="3"/>
  <c r="E316" i="3"/>
  <c r="D316" i="3"/>
  <c r="I316" i="3" s="1"/>
  <c r="H314" i="3"/>
  <c r="G314" i="3"/>
  <c r="F314" i="3"/>
  <c r="E314" i="3"/>
  <c r="D314" i="3"/>
  <c r="I314" i="3" s="1"/>
  <c r="H309" i="3"/>
  <c r="G309" i="3"/>
  <c r="F309" i="3"/>
  <c r="E309" i="3"/>
  <c r="D309" i="3"/>
  <c r="I309" i="3" s="1"/>
  <c r="H305" i="3"/>
  <c r="H207" i="3" s="1"/>
  <c r="G305" i="3"/>
  <c r="F305" i="3"/>
  <c r="F207" i="3" s="1"/>
  <c r="E305" i="3"/>
  <c r="D305" i="3"/>
  <c r="I305" i="3" s="1"/>
  <c r="H302" i="3"/>
  <c r="G302" i="3"/>
  <c r="F302" i="3"/>
  <c r="E302" i="3"/>
  <c r="D302" i="3"/>
  <c r="I302" i="3" s="1"/>
  <c r="H300" i="3"/>
  <c r="G300" i="3"/>
  <c r="F300" i="3"/>
  <c r="F209" i="3" s="1"/>
  <c r="F13" i="3" s="1"/>
  <c r="E300" i="3"/>
  <c r="D300" i="3"/>
  <c r="I300" i="3" s="1"/>
  <c r="H295" i="3"/>
  <c r="G295" i="3"/>
  <c r="F295" i="3"/>
  <c r="E295" i="3"/>
  <c r="D295" i="3"/>
  <c r="I295" i="3" s="1"/>
  <c r="H293" i="3"/>
  <c r="H288" i="3" s="1"/>
  <c r="G293" i="3"/>
  <c r="E293" i="3"/>
  <c r="D293" i="3"/>
  <c r="I293" i="3" s="1"/>
  <c r="G288" i="3"/>
  <c r="F288" i="3"/>
  <c r="E288" i="3"/>
  <c r="I288" i="3" s="1"/>
  <c r="D288" i="3"/>
  <c r="H284" i="3"/>
  <c r="G284" i="3"/>
  <c r="F284" i="3"/>
  <c r="E284" i="3"/>
  <c r="I284" i="3" s="1"/>
  <c r="D284" i="3"/>
  <c r="H281" i="3"/>
  <c r="G281" i="3"/>
  <c r="F281" i="3"/>
  <c r="E281" i="3"/>
  <c r="I281" i="3" s="1"/>
  <c r="D281" i="3"/>
  <c r="H279" i="3"/>
  <c r="G279" i="3"/>
  <c r="F279" i="3"/>
  <c r="E279" i="3"/>
  <c r="I279" i="3" s="1"/>
  <c r="D279" i="3"/>
  <c r="H274" i="3"/>
  <c r="G274" i="3"/>
  <c r="F274" i="3"/>
  <c r="E274" i="3"/>
  <c r="I274" i="3" s="1"/>
  <c r="D274" i="3"/>
  <c r="H270" i="3"/>
  <c r="G270" i="3"/>
  <c r="F270" i="3"/>
  <c r="E270" i="3"/>
  <c r="I270" i="3" s="1"/>
  <c r="D270" i="3"/>
  <c r="H267" i="3"/>
  <c r="G267" i="3"/>
  <c r="F267" i="3"/>
  <c r="E267" i="3"/>
  <c r="I267" i="3" s="1"/>
  <c r="D267" i="3"/>
  <c r="H263" i="3"/>
  <c r="G263" i="3"/>
  <c r="F263" i="3"/>
  <c r="E263" i="3"/>
  <c r="I263" i="3" s="1"/>
  <c r="D263" i="3"/>
  <c r="H260" i="3"/>
  <c r="G260" i="3"/>
  <c r="F260" i="3"/>
  <c r="E260" i="3"/>
  <c r="I260" i="3" s="1"/>
  <c r="D260" i="3"/>
  <c r="H258" i="3"/>
  <c r="G258" i="3"/>
  <c r="F258" i="3"/>
  <c r="E258" i="3"/>
  <c r="I258" i="3" s="1"/>
  <c r="D258" i="3"/>
  <c r="H253" i="3"/>
  <c r="G253" i="3"/>
  <c r="F253" i="3"/>
  <c r="E253" i="3"/>
  <c r="I253" i="3" s="1"/>
  <c r="D253" i="3"/>
  <c r="H251" i="3"/>
  <c r="G251" i="3"/>
  <c r="F251" i="3"/>
  <c r="E251" i="3"/>
  <c r="I251" i="3" s="1"/>
  <c r="D251" i="3"/>
  <c r="H246" i="3"/>
  <c r="G246" i="3"/>
  <c r="F246" i="3"/>
  <c r="E246" i="3"/>
  <c r="I246" i="3" s="1"/>
  <c r="D246" i="3"/>
  <c r="H244" i="3"/>
  <c r="G244" i="3"/>
  <c r="F244" i="3"/>
  <c r="E244" i="3"/>
  <c r="I244" i="3" s="1"/>
  <c r="D244" i="3"/>
  <c r="H239" i="3"/>
  <c r="G239" i="3"/>
  <c r="F239" i="3"/>
  <c r="E239" i="3"/>
  <c r="I239" i="3" s="1"/>
  <c r="D239" i="3"/>
  <c r="H237" i="3"/>
  <c r="G237" i="3"/>
  <c r="F237" i="3"/>
  <c r="E237" i="3"/>
  <c r="I237" i="3" s="1"/>
  <c r="D237" i="3"/>
  <c r="H232" i="3"/>
  <c r="G232" i="3"/>
  <c r="F232" i="3"/>
  <c r="E232" i="3"/>
  <c r="I232" i="3" s="1"/>
  <c r="D232" i="3"/>
  <c r="H228" i="3"/>
  <c r="G228" i="3"/>
  <c r="F228" i="3"/>
  <c r="E228" i="3"/>
  <c r="I228" i="3" s="1"/>
  <c r="D228" i="3"/>
  <c r="H225" i="3"/>
  <c r="G225" i="3"/>
  <c r="F225" i="3"/>
  <c r="E225" i="3"/>
  <c r="I225" i="3" s="1"/>
  <c r="D225" i="3"/>
  <c r="H223" i="3"/>
  <c r="G223" i="3"/>
  <c r="F223" i="3"/>
  <c r="E223" i="3"/>
  <c r="I223" i="3" s="1"/>
  <c r="D223" i="3"/>
  <c r="H218" i="3"/>
  <c r="G218" i="3"/>
  <c r="F218" i="3"/>
  <c r="E218" i="3"/>
  <c r="I218" i="3" s="1"/>
  <c r="D218" i="3"/>
  <c r="H216" i="3"/>
  <c r="G216" i="3"/>
  <c r="F216" i="3"/>
  <c r="E216" i="3"/>
  <c r="I216" i="3" s="1"/>
  <c r="D216" i="3"/>
  <c r="H211" i="3"/>
  <c r="G211" i="3"/>
  <c r="F211" i="3"/>
  <c r="E211" i="3"/>
  <c r="I211" i="3" s="1"/>
  <c r="D211" i="3"/>
  <c r="G209" i="3"/>
  <c r="E209" i="3"/>
  <c r="G207" i="3"/>
  <c r="E207" i="3"/>
  <c r="G204" i="3"/>
  <c r="E204" i="3"/>
  <c r="H202" i="3"/>
  <c r="G202" i="3"/>
  <c r="F202" i="3"/>
  <c r="E202" i="3"/>
  <c r="I202" i="3" s="1"/>
  <c r="D202" i="3"/>
  <c r="H197" i="3"/>
  <c r="G197" i="3"/>
  <c r="F197" i="3"/>
  <c r="E197" i="3"/>
  <c r="I197" i="3" s="1"/>
  <c r="D197" i="3"/>
  <c r="H195" i="3"/>
  <c r="G195" i="3"/>
  <c r="F195" i="3"/>
  <c r="E195" i="3"/>
  <c r="I195" i="3" s="1"/>
  <c r="D195" i="3"/>
  <c r="H190" i="3"/>
  <c r="G190" i="3"/>
  <c r="F190" i="3"/>
  <c r="E190" i="3"/>
  <c r="I190" i="3" s="1"/>
  <c r="D190" i="3"/>
  <c r="H188" i="3"/>
  <c r="G188" i="3"/>
  <c r="F188" i="3"/>
  <c r="E188" i="3"/>
  <c r="I188" i="3" s="1"/>
  <c r="D188" i="3"/>
  <c r="H183" i="3"/>
  <c r="G183" i="3"/>
  <c r="F183" i="3"/>
  <c r="E183" i="3"/>
  <c r="I183" i="3" s="1"/>
  <c r="D183" i="3"/>
  <c r="H181" i="3"/>
  <c r="G181" i="3"/>
  <c r="F181" i="3"/>
  <c r="E181" i="3"/>
  <c r="I181" i="3" s="1"/>
  <c r="D181" i="3"/>
  <c r="H176" i="3"/>
  <c r="G176" i="3"/>
  <c r="F176" i="3"/>
  <c r="E176" i="3"/>
  <c r="I176" i="3" s="1"/>
  <c r="D176" i="3"/>
  <c r="H172" i="3"/>
  <c r="G172" i="3"/>
  <c r="F172" i="3"/>
  <c r="E172" i="3"/>
  <c r="I172" i="3" s="1"/>
  <c r="D172" i="3"/>
  <c r="H169" i="3"/>
  <c r="G169" i="3"/>
  <c r="F169" i="3"/>
  <c r="E169" i="3"/>
  <c r="I169" i="3" s="1"/>
  <c r="D169" i="3"/>
  <c r="H167" i="3"/>
  <c r="G167" i="3"/>
  <c r="F167" i="3"/>
  <c r="E167" i="3"/>
  <c r="I167" i="3" s="1"/>
  <c r="D167" i="3"/>
  <c r="H162" i="3"/>
  <c r="G162" i="3"/>
  <c r="F162" i="3"/>
  <c r="E162" i="3"/>
  <c r="I162" i="3" s="1"/>
  <c r="D162" i="3"/>
  <c r="H160" i="3"/>
  <c r="G160" i="3"/>
  <c r="F160" i="3"/>
  <c r="E160" i="3"/>
  <c r="I160" i="3" s="1"/>
  <c r="D160" i="3"/>
  <c r="H155" i="3"/>
  <c r="G155" i="3"/>
  <c r="F155" i="3"/>
  <c r="E155" i="3"/>
  <c r="I155" i="3" s="1"/>
  <c r="D155" i="3"/>
  <c r="H153" i="3"/>
  <c r="G153" i="3"/>
  <c r="F153" i="3"/>
  <c r="E153" i="3"/>
  <c r="I153" i="3" s="1"/>
  <c r="D153" i="3"/>
  <c r="H148" i="3"/>
  <c r="G148" i="3"/>
  <c r="F148" i="3"/>
  <c r="E148" i="3"/>
  <c r="I148" i="3" s="1"/>
  <c r="D148" i="3"/>
  <c r="H144" i="3"/>
  <c r="G144" i="3"/>
  <c r="F144" i="3"/>
  <c r="E144" i="3"/>
  <c r="I144" i="3" s="1"/>
  <c r="D144" i="3"/>
  <c r="H141" i="3"/>
  <c r="G141" i="3"/>
  <c r="F141" i="3"/>
  <c r="E141" i="3"/>
  <c r="I141" i="3" s="1"/>
  <c r="D141" i="3"/>
  <c r="H139" i="3"/>
  <c r="G139" i="3"/>
  <c r="F139" i="3"/>
  <c r="E139" i="3"/>
  <c r="I139" i="3" s="1"/>
  <c r="D139" i="3"/>
  <c r="H134" i="3"/>
  <c r="G134" i="3"/>
  <c r="F134" i="3"/>
  <c r="E134" i="3"/>
  <c r="I134" i="3" s="1"/>
  <c r="D134" i="3"/>
  <c r="H132" i="3"/>
  <c r="G132" i="3"/>
  <c r="F132" i="3"/>
  <c r="E132" i="3"/>
  <c r="I132" i="3" s="1"/>
  <c r="D132" i="3"/>
  <c r="H127" i="3"/>
  <c r="G127" i="3"/>
  <c r="F127" i="3"/>
  <c r="E127" i="3"/>
  <c r="I127" i="3" s="1"/>
  <c r="D127" i="3"/>
  <c r="H125" i="3"/>
  <c r="G125" i="3"/>
  <c r="F125" i="3"/>
  <c r="E125" i="3"/>
  <c r="I125" i="3" s="1"/>
  <c r="D125" i="3"/>
  <c r="H120" i="3"/>
  <c r="G120" i="3"/>
  <c r="F120" i="3"/>
  <c r="E120" i="3"/>
  <c r="I120" i="3" s="1"/>
  <c r="D120" i="3"/>
  <c r="H118" i="3"/>
  <c r="G118" i="3"/>
  <c r="F118" i="3"/>
  <c r="E118" i="3"/>
  <c r="I118" i="3" s="1"/>
  <c r="D118" i="3"/>
  <c r="H113" i="3"/>
  <c r="G113" i="3"/>
  <c r="F113" i="3"/>
  <c r="E113" i="3"/>
  <c r="I113" i="3" s="1"/>
  <c r="D113" i="3"/>
  <c r="H111" i="3"/>
  <c r="G111" i="3"/>
  <c r="F111" i="3"/>
  <c r="E111" i="3"/>
  <c r="I111" i="3" s="1"/>
  <c r="D111" i="3"/>
  <c r="H109" i="3"/>
  <c r="G109" i="3"/>
  <c r="F109" i="3"/>
  <c r="E109" i="3"/>
  <c r="I109" i="3" s="1"/>
  <c r="D109" i="3"/>
  <c r="H106" i="3"/>
  <c r="G106" i="3"/>
  <c r="F106" i="3"/>
  <c r="E106" i="3"/>
  <c r="I106" i="3" s="1"/>
  <c r="D106" i="3"/>
  <c r="H104" i="3"/>
  <c r="G104" i="3"/>
  <c r="F104" i="3"/>
  <c r="E104" i="3"/>
  <c r="I104" i="3" s="1"/>
  <c r="D104" i="3"/>
  <c r="H99" i="3"/>
  <c r="G99" i="3"/>
  <c r="F99" i="3"/>
  <c r="E99" i="3"/>
  <c r="I99" i="3" s="1"/>
  <c r="D99" i="3"/>
  <c r="H97" i="3"/>
  <c r="G97" i="3"/>
  <c r="F97" i="3"/>
  <c r="E97" i="3"/>
  <c r="I97" i="3" s="1"/>
  <c r="D97" i="3"/>
  <c r="H92" i="3"/>
  <c r="G92" i="3"/>
  <c r="F92" i="3"/>
  <c r="E92" i="3"/>
  <c r="I92" i="3" s="1"/>
  <c r="D92" i="3"/>
  <c r="H90" i="3"/>
  <c r="G90" i="3"/>
  <c r="F90" i="3"/>
  <c r="E90" i="3"/>
  <c r="I90" i="3" s="1"/>
  <c r="D90" i="3"/>
  <c r="H85" i="3"/>
  <c r="G85" i="3"/>
  <c r="F85" i="3"/>
  <c r="E85" i="3"/>
  <c r="I85" i="3" s="1"/>
  <c r="D85" i="3"/>
  <c r="H83" i="3"/>
  <c r="G83" i="3"/>
  <c r="F83" i="3"/>
  <c r="E83" i="3"/>
  <c r="I83" i="3" s="1"/>
  <c r="D83" i="3"/>
  <c r="H78" i="3"/>
  <c r="G78" i="3"/>
  <c r="F78" i="3"/>
  <c r="E78" i="3"/>
  <c r="I78" i="3" s="1"/>
  <c r="D78" i="3"/>
  <c r="H76" i="3"/>
  <c r="G76" i="3"/>
  <c r="F76" i="3"/>
  <c r="E76" i="3"/>
  <c r="I76" i="3" s="1"/>
  <c r="D76" i="3"/>
  <c r="H71" i="3"/>
  <c r="G71" i="3"/>
  <c r="F71" i="3"/>
  <c r="E71" i="3"/>
  <c r="I71" i="3" s="1"/>
  <c r="D71" i="3"/>
  <c r="H69" i="3"/>
  <c r="G69" i="3"/>
  <c r="F69" i="3"/>
  <c r="E69" i="3"/>
  <c r="I69" i="3" s="1"/>
  <c r="D69" i="3"/>
  <c r="H67" i="3"/>
  <c r="G67" i="3"/>
  <c r="F67" i="3"/>
  <c r="E67" i="3"/>
  <c r="I67" i="3" s="1"/>
  <c r="D67" i="3"/>
  <c r="H64" i="3"/>
  <c r="G64" i="3"/>
  <c r="F64" i="3"/>
  <c r="E64" i="3"/>
  <c r="I64" i="3" s="1"/>
  <c r="D64" i="3"/>
  <c r="H60" i="3"/>
  <c r="G60" i="3"/>
  <c r="F60" i="3"/>
  <c r="E60" i="3"/>
  <c r="I60" i="3" s="1"/>
  <c r="D60" i="3"/>
  <c r="H57" i="3"/>
  <c r="G57" i="3"/>
  <c r="F57" i="3"/>
  <c r="E57" i="3"/>
  <c r="I57" i="3" s="1"/>
  <c r="D57" i="3"/>
  <c r="H53" i="3"/>
  <c r="G53" i="3"/>
  <c r="F53" i="3"/>
  <c r="E53" i="3"/>
  <c r="I53" i="3" s="1"/>
  <c r="D53" i="3"/>
  <c r="H50" i="3"/>
  <c r="G50" i="3"/>
  <c r="F50" i="3"/>
  <c r="E50" i="3"/>
  <c r="I50" i="3" s="1"/>
  <c r="D50" i="3"/>
  <c r="H48" i="3"/>
  <c r="G48" i="3"/>
  <c r="F48" i="3"/>
  <c r="E48" i="3"/>
  <c r="I48" i="3" s="1"/>
  <c r="D48" i="3"/>
  <c r="H43" i="3"/>
  <c r="G43" i="3"/>
  <c r="F43" i="3"/>
  <c r="E43" i="3"/>
  <c r="I43" i="3" s="1"/>
  <c r="D43" i="3"/>
  <c r="I41" i="3"/>
  <c r="D41" i="3"/>
  <c r="H36" i="3"/>
  <c r="G36" i="3"/>
  <c r="F36" i="3"/>
  <c r="E36" i="3"/>
  <c r="I36" i="3" s="1"/>
  <c r="D36" i="3"/>
  <c r="H34" i="3"/>
  <c r="G34" i="3"/>
  <c r="F34" i="3"/>
  <c r="E34" i="3"/>
  <c r="I34" i="3" s="1"/>
  <c r="D34" i="3"/>
  <c r="H29" i="3"/>
  <c r="G29" i="3"/>
  <c r="F29" i="3"/>
  <c r="E29" i="3"/>
  <c r="I29" i="3" s="1"/>
  <c r="D29" i="3"/>
  <c r="H27" i="3"/>
  <c r="G27" i="3"/>
  <c r="F27" i="3"/>
  <c r="E27" i="3"/>
  <c r="I27" i="3" s="1"/>
  <c r="D27" i="3"/>
  <c r="H22" i="3"/>
  <c r="G22" i="3"/>
  <c r="F22" i="3"/>
  <c r="E22" i="3"/>
  <c r="I22" i="3" s="1"/>
  <c r="D22" i="3"/>
  <c r="H20" i="3"/>
  <c r="G20" i="3"/>
  <c r="G13" i="3" s="1"/>
  <c r="G8" i="3" s="1"/>
  <c r="F20" i="3"/>
  <c r="E20" i="3"/>
  <c r="I20" i="3" s="1"/>
  <c r="D20" i="3"/>
  <c r="H18" i="3"/>
  <c r="G18" i="3"/>
  <c r="F18" i="3"/>
  <c r="E18" i="3"/>
  <c r="E11" i="3" s="1"/>
  <c r="E8" i="3" s="1"/>
  <c r="D18" i="3"/>
  <c r="H15" i="3"/>
  <c r="G15" i="3"/>
  <c r="F15" i="3"/>
  <c r="E15" i="3"/>
  <c r="I15" i="3" s="1"/>
  <c r="D15" i="3"/>
  <c r="E13" i="3"/>
  <c r="G11" i="3"/>
  <c r="J195" i="2"/>
  <c r="M195" i="2" s="1"/>
  <c r="L193" i="2"/>
  <c r="K193" i="2"/>
  <c r="J193" i="2"/>
  <c r="I193" i="2"/>
  <c r="H193" i="2"/>
  <c r="M193" i="2" s="1"/>
  <c r="L192" i="2"/>
  <c r="K192" i="2"/>
  <c r="J192" i="2"/>
  <c r="I192" i="2"/>
  <c r="H192" i="2"/>
  <c r="M192" i="2" s="1"/>
  <c r="L190" i="2"/>
  <c r="K190" i="2"/>
  <c r="J190" i="2"/>
  <c r="I190" i="2"/>
  <c r="H190" i="2"/>
  <c r="M190" i="2" s="1"/>
  <c r="L189" i="2"/>
  <c r="K189" i="2"/>
  <c r="I189" i="2"/>
  <c r="I186" i="2" s="1"/>
  <c r="H189" i="2"/>
  <c r="M189" i="2" s="1"/>
  <c r="M188" i="2"/>
  <c r="L186" i="2"/>
  <c r="K186" i="2"/>
  <c r="J186" i="2"/>
  <c r="H186" i="2"/>
  <c r="I185" i="2"/>
  <c r="L183" i="2"/>
  <c r="K183" i="2"/>
  <c r="J183" i="2"/>
  <c r="H183" i="2"/>
  <c r="M182" i="2"/>
  <c r="L180" i="2"/>
  <c r="K180" i="2"/>
  <c r="J180" i="2"/>
  <c r="I180" i="2"/>
  <c r="M180" i="2" s="1"/>
  <c r="H180" i="2"/>
  <c r="M179" i="2"/>
  <c r="L177" i="2"/>
  <c r="K177" i="2"/>
  <c r="J177" i="2"/>
  <c r="I177" i="2"/>
  <c r="H177" i="2"/>
  <c r="M177" i="2" s="1"/>
  <c r="I176" i="2"/>
  <c r="L174" i="2"/>
  <c r="K174" i="2"/>
  <c r="J174" i="2"/>
  <c r="H174" i="2"/>
  <c r="J173" i="2"/>
  <c r="H173" i="2"/>
  <c r="I171" i="2"/>
  <c r="H171" i="2"/>
  <c r="M170" i="2"/>
  <c r="K170" i="2"/>
  <c r="L170" i="2" s="1"/>
  <c r="L168" i="2" s="1"/>
  <c r="J170" i="2"/>
  <c r="K168" i="2"/>
  <c r="J168" i="2"/>
  <c r="I168" i="2"/>
  <c r="M168" i="2" s="1"/>
  <c r="H168" i="2"/>
  <c r="M167" i="2"/>
  <c r="K167" i="2"/>
  <c r="L167" i="2" s="1"/>
  <c r="L165" i="2" s="1"/>
  <c r="L128" i="2" s="1"/>
  <c r="H167" i="2"/>
  <c r="K165" i="2"/>
  <c r="J165" i="2"/>
  <c r="I165" i="2"/>
  <c r="M165" i="2" s="1"/>
  <c r="H165" i="2"/>
  <c r="M164" i="2"/>
  <c r="L162" i="2"/>
  <c r="K162" i="2"/>
  <c r="J162" i="2"/>
  <c r="I162" i="2"/>
  <c r="H162" i="2"/>
  <c r="M162" i="2" s="1"/>
  <c r="M161" i="2"/>
  <c r="C161" i="2"/>
  <c r="L159" i="2"/>
  <c r="K159" i="2"/>
  <c r="J159" i="2"/>
  <c r="I159" i="2"/>
  <c r="H159" i="2"/>
  <c r="M159" i="2" s="1"/>
  <c r="L158" i="2"/>
  <c r="K158" i="2"/>
  <c r="J158" i="2"/>
  <c r="M158" i="2" s="1"/>
  <c r="J157" i="2"/>
  <c r="H157" i="2"/>
  <c r="I155" i="2"/>
  <c r="H155" i="2"/>
  <c r="K154" i="2"/>
  <c r="L154" i="2" s="1"/>
  <c r="L152" i="2" s="1"/>
  <c r="I154" i="2"/>
  <c r="J154" i="2" s="1"/>
  <c r="J152" i="2" s="1"/>
  <c r="H154" i="2"/>
  <c r="K152" i="2"/>
  <c r="I152" i="2"/>
  <c r="M152" i="2" s="1"/>
  <c r="H152" i="2"/>
  <c r="K151" i="2"/>
  <c r="L151" i="2" s="1"/>
  <c r="J151" i="2"/>
  <c r="H151" i="2"/>
  <c r="M151" i="2" s="1"/>
  <c r="J150" i="2"/>
  <c r="K150" i="2" s="1"/>
  <c r="L150" i="2" s="1"/>
  <c r="H150" i="2"/>
  <c r="M149" i="2"/>
  <c r="H149" i="2"/>
  <c r="L148" i="2"/>
  <c r="K148" i="2"/>
  <c r="J148" i="2"/>
  <c r="H148" i="2"/>
  <c r="M148" i="2" s="1"/>
  <c r="J147" i="2"/>
  <c r="K147" i="2" s="1"/>
  <c r="L147" i="2" s="1"/>
  <c r="L144" i="2" s="1"/>
  <c r="H147" i="2"/>
  <c r="L146" i="2"/>
  <c r="K146" i="2"/>
  <c r="K144" i="2" s="1"/>
  <c r="J146" i="2"/>
  <c r="H146" i="2"/>
  <c r="M146" i="2" s="1"/>
  <c r="J144" i="2"/>
  <c r="I144" i="2"/>
  <c r="H144" i="2"/>
  <c r="L143" i="2"/>
  <c r="K143" i="2"/>
  <c r="H143" i="2"/>
  <c r="M143" i="2" s="1"/>
  <c r="L141" i="2"/>
  <c r="K141" i="2"/>
  <c r="J141" i="2"/>
  <c r="I141" i="2"/>
  <c r="H141" i="2"/>
  <c r="M141" i="2" s="1"/>
  <c r="J140" i="2"/>
  <c r="K140" i="2" s="1"/>
  <c r="L140" i="2" s="1"/>
  <c r="H140" i="2"/>
  <c r="K139" i="2"/>
  <c r="J139" i="2"/>
  <c r="H139" i="2"/>
  <c r="I137" i="2"/>
  <c r="H137" i="2"/>
  <c r="L136" i="2"/>
  <c r="L134" i="2" s="1"/>
  <c r="K136" i="2"/>
  <c r="J136" i="2"/>
  <c r="H136" i="2"/>
  <c r="K134" i="2"/>
  <c r="I134" i="2"/>
  <c r="H134" i="2"/>
  <c r="M133" i="2"/>
  <c r="K133" i="2"/>
  <c r="L133" i="2" s="1"/>
  <c r="L127" i="2" s="1"/>
  <c r="J133" i="2"/>
  <c r="H133" i="2"/>
  <c r="H127" i="2" s="1"/>
  <c r="L132" i="2"/>
  <c r="J132" i="2"/>
  <c r="K132" i="2" s="1"/>
  <c r="H132" i="2"/>
  <c r="M132" i="2" s="1"/>
  <c r="K131" i="2"/>
  <c r="J131" i="2"/>
  <c r="H131" i="2"/>
  <c r="J129" i="2"/>
  <c r="K128" i="2"/>
  <c r="K17" i="2" s="1"/>
  <c r="J128" i="2"/>
  <c r="I128" i="2"/>
  <c r="M128" i="2" s="1"/>
  <c r="H128" i="2"/>
  <c r="M127" i="2"/>
  <c r="K127" i="2"/>
  <c r="J127" i="2"/>
  <c r="I127" i="2"/>
  <c r="C127" i="2"/>
  <c r="C13" i="2" s="1"/>
  <c r="J126" i="2"/>
  <c r="I126" i="2"/>
  <c r="H126" i="2"/>
  <c r="C126" i="2"/>
  <c r="I125" i="2"/>
  <c r="C125" i="2"/>
  <c r="M122" i="2"/>
  <c r="L120" i="2"/>
  <c r="K120" i="2"/>
  <c r="J120" i="2"/>
  <c r="I120" i="2"/>
  <c r="M120" i="2" s="1"/>
  <c r="M119" i="2"/>
  <c r="L117" i="2"/>
  <c r="K117" i="2"/>
  <c r="J117" i="2"/>
  <c r="I117" i="2"/>
  <c r="M117" i="2" s="1"/>
  <c r="M116" i="2"/>
  <c r="L114" i="2"/>
  <c r="K114" i="2"/>
  <c r="J114" i="2"/>
  <c r="I114" i="2"/>
  <c r="M114" i="2" s="1"/>
  <c r="M113" i="2"/>
  <c r="L111" i="2"/>
  <c r="K111" i="2"/>
  <c r="J111" i="2"/>
  <c r="I111" i="2"/>
  <c r="M111" i="2" s="1"/>
  <c r="M110" i="2"/>
  <c r="L108" i="2"/>
  <c r="K108" i="2"/>
  <c r="J108" i="2"/>
  <c r="I108" i="2"/>
  <c r="M108" i="2" s="1"/>
  <c r="M107" i="2"/>
  <c r="L105" i="2"/>
  <c r="K105" i="2"/>
  <c r="J105" i="2"/>
  <c r="I105" i="2"/>
  <c r="M105" i="2" s="1"/>
  <c r="H105" i="2"/>
  <c r="M104" i="2"/>
  <c r="L102" i="2"/>
  <c r="K102" i="2"/>
  <c r="J102" i="2"/>
  <c r="I102" i="2"/>
  <c r="H102" i="2"/>
  <c r="M102" i="2" s="1"/>
  <c r="J101" i="2"/>
  <c r="J99" i="2"/>
  <c r="I99" i="2"/>
  <c r="H99" i="2"/>
  <c r="M98" i="2"/>
  <c r="L96" i="2"/>
  <c r="K96" i="2"/>
  <c r="J96" i="2"/>
  <c r="I96" i="2"/>
  <c r="M96" i="2" s="1"/>
  <c r="H96" i="2"/>
  <c r="K95" i="2"/>
  <c r="L95" i="2" s="1"/>
  <c r="L93" i="2" s="1"/>
  <c r="J95" i="2"/>
  <c r="J93" i="2"/>
  <c r="I93" i="2"/>
  <c r="H93" i="2"/>
  <c r="M92" i="2"/>
  <c r="H92" i="2"/>
  <c r="M91" i="2"/>
  <c r="H91" i="2"/>
  <c r="L89" i="2"/>
  <c r="K89" i="2"/>
  <c r="J89" i="2"/>
  <c r="I89" i="2"/>
  <c r="M89" i="2" s="1"/>
  <c r="H89" i="2"/>
  <c r="M88" i="2"/>
  <c r="H88" i="2"/>
  <c r="M87" i="2"/>
  <c r="H87" i="2"/>
  <c r="C87" i="2"/>
  <c r="J86" i="2"/>
  <c r="I86" i="2"/>
  <c r="H86" i="2"/>
  <c r="I84" i="2"/>
  <c r="M83" i="2"/>
  <c r="H83" i="2"/>
  <c r="M82" i="2"/>
  <c r="H82" i="2"/>
  <c r="C82" i="2"/>
  <c r="L81" i="2"/>
  <c r="J81" i="2"/>
  <c r="K81" i="2" s="1"/>
  <c r="I81" i="2"/>
  <c r="H81" i="2"/>
  <c r="L80" i="2"/>
  <c r="J80" i="2"/>
  <c r="K80" i="2" s="1"/>
  <c r="I80" i="2"/>
  <c r="I78" i="2" s="1"/>
  <c r="H80" i="2"/>
  <c r="C80" i="2"/>
  <c r="C86" i="2" s="1"/>
  <c r="L78" i="2"/>
  <c r="K78" i="2"/>
  <c r="J78" i="2"/>
  <c r="H78" i="2"/>
  <c r="M78" i="2" s="1"/>
  <c r="L77" i="2"/>
  <c r="K77" i="2"/>
  <c r="I77" i="2"/>
  <c r="M77" i="2" s="1"/>
  <c r="J76" i="2"/>
  <c r="K76" i="2" s="1"/>
  <c r="L76" i="2" s="1"/>
  <c r="H76" i="2"/>
  <c r="M76" i="2" s="1"/>
  <c r="K75" i="2"/>
  <c r="L75" i="2" s="1"/>
  <c r="L73" i="2" s="1"/>
  <c r="J75" i="2"/>
  <c r="H75" i="2"/>
  <c r="M75" i="2" s="1"/>
  <c r="J73" i="2"/>
  <c r="H73" i="2"/>
  <c r="H72" i="2"/>
  <c r="M69" i="2"/>
  <c r="K69" i="2"/>
  <c r="L69" i="2" s="1"/>
  <c r="L67" i="2" s="1"/>
  <c r="I69" i="2"/>
  <c r="H69" i="2"/>
  <c r="H67" i="2" s="1"/>
  <c r="C69" i="2"/>
  <c r="C72" i="2" s="1"/>
  <c r="K67" i="2"/>
  <c r="J67" i="2"/>
  <c r="I67" i="2"/>
  <c r="M67" i="2" s="1"/>
  <c r="K66" i="2"/>
  <c r="L66" i="2" s="1"/>
  <c r="L64" i="2" s="1"/>
  <c r="I66" i="2"/>
  <c r="J66" i="2" s="1"/>
  <c r="J64" i="2" s="1"/>
  <c r="H66" i="2"/>
  <c r="K64" i="2"/>
  <c r="I64" i="2"/>
  <c r="M64" i="2" s="1"/>
  <c r="H64" i="2"/>
  <c r="K63" i="2"/>
  <c r="J63" i="2"/>
  <c r="H63" i="2"/>
  <c r="H55" i="2" s="1"/>
  <c r="J61" i="2"/>
  <c r="I61" i="2"/>
  <c r="H61" i="2"/>
  <c r="J60" i="2"/>
  <c r="H60" i="2"/>
  <c r="I58" i="2"/>
  <c r="H58" i="2"/>
  <c r="L57" i="2"/>
  <c r="K57" i="2"/>
  <c r="J57" i="2"/>
  <c r="I57" i="2"/>
  <c r="M57" i="2" s="1"/>
  <c r="H57" i="2"/>
  <c r="C57" i="2"/>
  <c r="L56" i="2"/>
  <c r="K56" i="2"/>
  <c r="J56" i="2"/>
  <c r="J12" i="2" s="1"/>
  <c r="I56" i="2"/>
  <c r="H56" i="2"/>
  <c r="C56" i="2"/>
  <c r="C55" i="2"/>
  <c r="H52" i="2"/>
  <c r="M52" i="2" s="1"/>
  <c r="H51" i="2"/>
  <c r="L49" i="2"/>
  <c r="K49" i="2"/>
  <c r="J49" i="2"/>
  <c r="I49" i="2"/>
  <c r="H49" i="2"/>
  <c r="M49" i="2" s="1"/>
  <c r="H48" i="2"/>
  <c r="M48" i="2" s="1"/>
  <c r="H47" i="2"/>
  <c r="M47" i="2" s="1"/>
  <c r="H46" i="2"/>
  <c r="H45" i="2"/>
  <c r="M45" i="2" s="1"/>
  <c r="H44" i="2"/>
  <c r="M44" i="2" s="1"/>
  <c r="H43" i="2"/>
  <c r="M43" i="2" s="1"/>
  <c r="H42" i="2"/>
  <c r="M42" i="2" s="1"/>
  <c r="H41" i="2"/>
  <c r="H40" i="2"/>
  <c r="L38" i="2"/>
  <c r="K38" i="2"/>
  <c r="J38" i="2"/>
  <c r="I38" i="2"/>
  <c r="H38" i="2"/>
  <c r="M38" i="2" s="1"/>
  <c r="H37" i="2"/>
  <c r="C37" i="2"/>
  <c r="L35" i="2"/>
  <c r="K35" i="2"/>
  <c r="J35" i="2"/>
  <c r="I35" i="2"/>
  <c r="M34" i="2"/>
  <c r="H34" i="2"/>
  <c r="L32" i="2"/>
  <c r="K32" i="2"/>
  <c r="J32" i="2"/>
  <c r="I32" i="2"/>
  <c r="M32" i="2" s="1"/>
  <c r="H32" i="2"/>
  <c r="L31" i="2"/>
  <c r="K31" i="2"/>
  <c r="J31" i="2"/>
  <c r="H31" i="2"/>
  <c r="M31" i="2" s="1"/>
  <c r="L29" i="2"/>
  <c r="J29" i="2"/>
  <c r="I29" i="2"/>
  <c r="H29" i="2"/>
  <c r="L28" i="2"/>
  <c r="L26" i="2" s="1"/>
  <c r="K28" i="2"/>
  <c r="J28" i="2"/>
  <c r="J26" i="2" s="1"/>
  <c r="H28" i="2"/>
  <c r="M28" i="2" s="1"/>
  <c r="K26" i="2"/>
  <c r="I26" i="2"/>
  <c r="M26" i="2" s="1"/>
  <c r="H26" i="2"/>
  <c r="L25" i="2"/>
  <c r="K25" i="2"/>
  <c r="K16" i="2" s="1"/>
  <c r="J25" i="2"/>
  <c r="I25" i="2"/>
  <c r="I16" i="2" s="1"/>
  <c r="L24" i="2"/>
  <c r="K24" i="2"/>
  <c r="K15" i="2" s="1"/>
  <c r="J24" i="2"/>
  <c r="I24" i="2"/>
  <c r="I15" i="2" s="1"/>
  <c r="C24" i="2"/>
  <c r="C15" i="2" s="1"/>
  <c r="L23" i="2"/>
  <c r="L14" i="2" s="1"/>
  <c r="K23" i="2"/>
  <c r="J23" i="2"/>
  <c r="J14" i="2" s="1"/>
  <c r="I23" i="2"/>
  <c r="H23" i="2"/>
  <c r="C23" i="2"/>
  <c r="L22" i="2"/>
  <c r="K22" i="2"/>
  <c r="K13" i="2" s="1"/>
  <c r="J22" i="2"/>
  <c r="I22" i="2"/>
  <c r="I13" i="2" s="1"/>
  <c r="L21" i="2"/>
  <c r="K21" i="2"/>
  <c r="J21" i="2"/>
  <c r="I21" i="2"/>
  <c r="C21" i="2"/>
  <c r="C11" i="2" s="1"/>
  <c r="L20" i="2"/>
  <c r="J20" i="2"/>
  <c r="I20" i="2"/>
  <c r="H20" i="2"/>
  <c r="J18" i="2"/>
  <c r="L17" i="2"/>
  <c r="J17" i="2"/>
  <c r="H17" i="2"/>
  <c r="L16" i="2"/>
  <c r="J16" i="2"/>
  <c r="L15" i="2"/>
  <c r="J15" i="2"/>
  <c r="K14" i="2"/>
  <c r="I14" i="2"/>
  <c r="C14" i="2"/>
  <c r="L13" i="2"/>
  <c r="J13" i="2"/>
  <c r="I12" i="2"/>
  <c r="C12" i="2"/>
  <c r="L11" i="2"/>
  <c r="J11" i="2"/>
  <c r="C10" i="2"/>
  <c r="B8" i="2"/>
  <c r="L38" i="4" l="1"/>
  <c r="L29" i="4"/>
  <c r="L18" i="4"/>
  <c r="L21" i="4"/>
  <c r="G41" i="4"/>
  <c r="L41" i="4" s="1"/>
  <c r="H9" i="4"/>
  <c r="K10" i="4"/>
  <c r="J11" i="4"/>
  <c r="K12" i="4"/>
  <c r="K38" i="4" s="1"/>
  <c r="I23" i="4"/>
  <c r="J29" i="4"/>
  <c r="K29" i="4" s="1"/>
  <c r="I18" i="3"/>
  <c r="F204" i="3"/>
  <c r="F11" i="3"/>
  <c r="F8" i="3" s="1"/>
  <c r="H11" i="3"/>
  <c r="D207" i="3"/>
  <c r="D209" i="3"/>
  <c r="H209" i="3"/>
  <c r="H13" i="3" s="1"/>
  <c r="M20" i="2"/>
  <c r="M23" i="2"/>
  <c r="H14" i="2"/>
  <c r="M14" i="2" s="1"/>
  <c r="K29" i="2"/>
  <c r="M29" i="2" s="1"/>
  <c r="K20" i="2"/>
  <c r="M41" i="2"/>
  <c r="H21" i="2"/>
  <c r="K60" i="2"/>
  <c r="J58" i="2"/>
  <c r="L63" i="2"/>
  <c r="L61" i="2" s="1"/>
  <c r="K61" i="2"/>
  <c r="M61" i="2" s="1"/>
  <c r="I72" i="2"/>
  <c r="H70" i="2"/>
  <c r="H18" i="2"/>
  <c r="L18" i="2"/>
  <c r="I18" i="2"/>
  <c r="I11" i="2"/>
  <c r="K11" i="2"/>
  <c r="M37" i="2"/>
  <c r="H35" i="2"/>
  <c r="M35" i="2" s="1"/>
  <c r="M40" i="2"/>
  <c r="H22" i="2"/>
  <c r="M46" i="2"/>
  <c r="H24" i="2"/>
  <c r="M51" i="2"/>
  <c r="H25" i="2"/>
  <c r="H53" i="2"/>
  <c r="M56" i="2"/>
  <c r="H12" i="2"/>
  <c r="M66" i="2"/>
  <c r="H129" i="2"/>
  <c r="H125" i="2"/>
  <c r="L131" i="2"/>
  <c r="K129" i="2"/>
  <c r="J134" i="2"/>
  <c r="M134" i="2" s="1"/>
  <c r="J125" i="2"/>
  <c r="J123" i="2" s="1"/>
  <c r="M144" i="2"/>
  <c r="K173" i="2"/>
  <c r="J171" i="2"/>
  <c r="M176" i="2"/>
  <c r="I174" i="2"/>
  <c r="M174" i="2" s="1"/>
  <c r="M185" i="2"/>
  <c r="I183" i="2"/>
  <c r="M183" i="2" s="1"/>
  <c r="I17" i="2"/>
  <c r="M17" i="2" s="1"/>
  <c r="I73" i="2"/>
  <c r="M73" i="2" s="1"/>
  <c r="K73" i="2"/>
  <c r="M80" i="2"/>
  <c r="M81" i="2"/>
  <c r="H84" i="2"/>
  <c r="K86" i="2"/>
  <c r="J84" i="2"/>
  <c r="K93" i="2"/>
  <c r="M93" i="2" s="1"/>
  <c r="M95" i="2"/>
  <c r="K101" i="2"/>
  <c r="K125" i="2"/>
  <c r="I123" i="2"/>
  <c r="M131" i="2"/>
  <c r="M136" i="2"/>
  <c r="J137" i="2"/>
  <c r="L139" i="2"/>
  <c r="K137" i="2"/>
  <c r="M140" i="2"/>
  <c r="M147" i="2"/>
  <c r="M150" i="2"/>
  <c r="M154" i="2"/>
  <c r="K157" i="2"/>
  <c r="J155" i="2"/>
  <c r="M186" i="2"/>
  <c r="J23" i="4" l="1"/>
  <c r="I9" i="4"/>
  <c r="L10" i="4"/>
  <c r="J39" i="4"/>
  <c r="K11" i="4"/>
  <c r="J9" i="4"/>
  <c r="L12" i="4"/>
  <c r="I40" i="4"/>
  <c r="G37" i="4"/>
  <c r="D13" i="3"/>
  <c r="I209" i="3"/>
  <c r="H8" i="3"/>
  <c r="D204" i="3"/>
  <c r="I204" i="3" s="1"/>
  <c r="D11" i="3"/>
  <c r="I11" i="3" s="1"/>
  <c r="I207" i="3"/>
  <c r="H204" i="3"/>
  <c r="K99" i="2"/>
  <c r="M99" i="2" s="1"/>
  <c r="L101" i="2"/>
  <c r="L99" i="2" s="1"/>
  <c r="K84" i="2"/>
  <c r="L86" i="2"/>
  <c r="L84" i="2" s="1"/>
  <c r="M86" i="2"/>
  <c r="H123" i="2"/>
  <c r="L60" i="2"/>
  <c r="K58" i="2"/>
  <c r="L157" i="2"/>
  <c r="K155" i="2"/>
  <c r="M139" i="2"/>
  <c r="L137" i="2"/>
  <c r="M137" i="2" s="1"/>
  <c r="K126" i="2"/>
  <c r="M101" i="2"/>
  <c r="M84" i="2"/>
  <c r="L173" i="2"/>
  <c r="K171" i="2"/>
  <c r="L125" i="2"/>
  <c r="M125" i="2" s="1"/>
  <c r="L129" i="2"/>
  <c r="M129" i="2" s="1"/>
  <c r="M63" i="2"/>
  <c r="M25" i="2"/>
  <c r="H16" i="2"/>
  <c r="M16" i="2" s="1"/>
  <c r="M24" i="2"/>
  <c r="H15" i="2"/>
  <c r="M15" i="2" s="1"/>
  <c r="H13" i="2"/>
  <c r="M13" i="2" s="1"/>
  <c r="M22" i="2"/>
  <c r="J72" i="2"/>
  <c r="I70" i="2"/>
  <c r="I55" i="2"/>
  <c r="M21" i="2"/>
  <c r="H11" i="2"/>
  <c r="M11" i="2" s="1"/>
  <c r="K18" i="2"/>
  <c r="M18" i="2" s="1"/>
  <c r="H10" i="2"/>
  <c r="K39" i="4" l="1"/>
  <c r="L11" i="4"/>
  <c r="K9" i="4"/>
  <c r="I37" i="4"/>
  <c r="L39" i="4"/>
  <c r="K23" i="4"/>
  <c r="J40" i="4"/>
  <c r="D8" i="3"/>
  <c r="I8" i="3" s="1"/>
  <c r="I13" i="3"/>
  <c r="M171" i="2"/>
  <c r="M58" i="2"/>
  <c r="H8" i="2"/>
  <c r="K12" i="2"/>
  <c r="K123" i="2"/>
  <c r="L155" i="2"/>
  <c r="M155" i="2" s="1"/>
  <c r="L126" i="2"/>
  <c r="M157" i="2"/>
  <c r="I53" i="2"/>
  <c r="I10" i="2"/>
  <c r="I8" i="2" s="1"/>
  <c r="K72" i="2"/>
  <c r="J70" i="2"/>
  <c r="J55" i="2"/>
  <c r="L171" i="2"/>
  <c r="M173" i="2"/>
  <c r="L58" i="2"/>
  <c r="M60" i="2"/>
  <c r="J37" i="4" l="1"/>
  <c r="K40" i="4"/>
  <c r="K37" i="4" s="1"/>
  <c r="L23" i="4"/>
  <c r="L9" i="4" s="1"/>
  <c r="M123" i="2"/>
  <c r="J53" i="2"/>
  <c r="J10" i="2"/>
  <c r="J8" i="2" s="1"/>
  <c r="L72" i="2"/>
  <c r="K70" i="2"/>
  <c r="K55" i="2"/>
  <c r="L123" i="2"/>
  <c r="L12" i="2"/>
  <c r="M126" i="2"/>
  <c r="M12" i="2"/>
  <c r="L40" i="4" l="1"/>
  <c r="L37" i="4" s="1"/>
  <c r="K53" i="2"/>
  <c r="K10" i="2"/>
  <c r="M55" i="2"/>
  <c r="L70" i="2"/>
  <c r="M70" i="2" s="1"/>
  <c r="M72" i="2"/>
  <c r="L55" i="2"/>
  <c r="L53" i="2" l="1"/>
  <c r="M53" i="2" s="1"/>
  <c r="L10" i="2"/>
  <c r="L8" i="2" s="1"/>
  <c r="K8" i="2"/>
  <c r="M8" i="2" s="1"/>
  <c r="M10" i="2"/>
</calcChain>
</file>

<file path=xl/sharedStrings.xml><?xml version="1.0" encoding="utf-8"?>
<sst xmlns="http://schemas.openxmlformats.org/spreadsheetml/2006/main" count="1421" uniqueCount="242">
  <si>
    <t xml:space="preserve">Приложение № 1
к муниципальной программе «Реформирование и модернизация жилищно-коммунального хозяйства и повышение энергетической эффективности муниципального образования «город Шарыпово Красноярского края» </t>
  </si>
  <si>
    <t>Информация о распределении планируемых расходов по отдельным мероприятиям программы, подпрограммам муниципальной программы муниципального образования города Шарыпово Красноярского края</t>
  </si>
  <si>
    <t>Статус (государственная программа, подпрограмма)</t>
  </si>
  <si>
    <t>Наименование  программы, подпрограммы</t>
  </si>
  <si>
    <t>Наименование ГРБС</t>
  </si>
  <si>
    <t xml:space="preserve">Код бюджетной классификации </t>
  </si>
  <si>
    <t>Расходы (тыс. руб.), годы</t>
  </si>
  <si>
    <t>ГРБС</t>
  </si>
  <si>
    <t>РзПр</t>
  </si>
  <si>
    <t>ЦСР</t>
  </si>
  <si>
    <t>ВР</t>
  </si>
  <si>
    <t>Итого на период 2014-2018гг.</t>
  </si>
  <si>
    <t>Муниципальная программа</t>
  </si>
  <si>
    <t>всего расходные обязательства по программе</t>
  </si>
  <si>
    <t>Х</t>
  </si>
  <si>
    <t>в том числе по ГРБС:</t>
  </si>
  <si>
    <t>005</t>
  </si>
  <si>
    <t>018</t>
  </si>
  <si>
    <t>025</t>
  </si>
  <si>
    <t>031</t>
  </si>
  <si>
    <t>013</t>
  </si>
  <si>
    <t>Управление социальной защиты населения Администрации города Шарыпово</t>
  </si>
  <si>
    <t>700</t>
  </si>
  <si>
    <t>КУМИ и ЗО</t>
  </si>
  <si>
    <t>117</t>
  </si>
  <si>
    <t>Подпрограмма 1</t>
  </si>
  <si>
    <t xml:space="preserve">«Энергосбережение и повышение энергетической эффективности в муниципальном образовании «город Шарыпово Красноярского края»» </t>
  </si>
  <si>
    <t>всего расходные обязательства по подпрограмме</t>
  </si>
  <si>
    <t>МКУ "СГХ"</t>
  </si>
  <si>
    <t>Администрация поселка Дубинино</t>
  </si>
  <si>
    <t>Мероприятие 1 подпрограммы 1</t>
  </si>
  <si>
    <t>Установка индивидуальных приборов учета в муниципальных жилых помещениях</t>
  </si>
  <si>
    <t>133</t>
  </si>
  <si>
    <t>0501</t>
  </si>
  <si>
    <t>0318708; 0310087080</t>
  </si>
  <si>
    <t>244</t>
  </si>
  <si>
    <t>Мероприятие 2 подпрограммы 1</t>
  </si>
  <si>
    <t>Долевое финансирование собственников муниципальных жилых помещений  по установке общедомовых приборов учета в многоквартирных домах расположенных на территории  муниципального образования  «город Шарыпово Красноярского края»</t>
  </si>
  <si>
    <t>0318756; 0310087560</t>
  </si>
  <si>
    <t>Мероприятие 3 подпрограммы 1</t>
  </si>
  <si>
    <t>Софинансирование мероприятий по проведению обязательного энергетического обследования</t>
  </si>
  <si>
    <t>Администрация города Шарыпово</t>
  </si>
  <si>
    <t>0505</t>
  </si>
  <si>
    <t>0318743</t>
  </si>
  <si>
    <t>621</t>
  </si>
  <si>
    <t>Мероприятие 4 подпрограммы 1</t>
  </si>
  <si>
    <t xml:space="preserve">Оплата работ (услуг) на ремонт систем теплоснабжения </t>
  </si>
  <si>
    <t>0502</t>
  </si>
  <si>
    <t>0318749</t>
  </si>
  <si>
    <t>Мероприятие 5 подпрограммы 1</t>
  </si>
  <si>
    <t>Субсидия бюджетам муниципальных образований на реализацию мероприятий по проведению обязательных энергетических обследований муниципальных учреждений Красноярского края</t>
  </si>
  <si>
    <t>0113</t>
  </si>
  <si>
    <t>0317423</t>
  </si>
  <si>
    <t>622</t>
  </si>
  <si>
    <t>Отдел культуры администрации г. Шарыпово</t>
  </si>
  <si>
    <t>0801</t>
  </si>
  <si>
    <t>0702</t>
  </si>
  <si>
    <t>612</t>
  </si>
  <si>
    <t>0804</t>
  </si>
  <si>
    <t>Управление образованием администрации г. Шарыпово</t>
  </si>
  <si>
    <t>0707</t>
  </si>
  <si>
    <t>Мероприятие 6 подпрограммы 1</t>
  </si>
  <si>
    <t xml:space="preserve">Осуществление компенсационных выплат отдельным категориям граждан на возмещение расходов, связанных с установкой общедомовых приборов учета энергетических ресурсов </t>
  </si>
  <si>
    <t>1003</t>
  </si>
  <si>
    <t>0317503</t>
  </si>
  <si>
    <t>313</t>
  </si>
  <si>
    <t>Подпрограмма 2</t>
  </si>
  <si>
    <t xml:space="preserve">«Организация проведения работ (услуг) по благоустройству города» </t>
  </si>
  <si>
    <t>Мероприятие 1 подпрограммы 2</t>
  </si>
  <si>
    <t>Оплата услуг за потребленную электрическую энергию (уличное освещение)</t>
  </si>
  <si>
    <t>0503</t>
  </si>
  <si>
    <t>0328700; 0320087000</t>
  </si>
  <si>
    <t>Мероприятие 2 подпрограммы 2</t>
  </si>
  <si>
    <t>Оплата услуг на содержание, ремонт оборудования уличного освещения</t>
  </si>
  <si>
    <t>0328701; 0320087010</t>
  </si>
  <si>
    <t>Мероприятие 3 подпрограммы 2</t>
  </si>
  <si>
    <t xml:space="preserve">Оплата работ (услуг) по организации и содержанию мест захоронения </t>
  </si>
  <si>
    <t>0328706; 0320087060</t>
  </si>
  <si>
    <t>Мероприятие 4 подпрограммы 2</t>
  </si>
  <si>
    <t>Оплата работ (услуг) по содержанию и ремонту имущества</t>
  </si>
  <si>
    <t>0328707; 0320087070</t>
  </si>
  <si>
    <t>Мероприятие 5 подпрограммы 2</t>
  </si>
  <si>
    <t>Долевое финансирование мероприятий на реализацию проектов по благоустройству территорий поселений, городских округов за счет бюджета города</t>
  </si>
  <si>
    <t>0328709; 03200S7410</t>
  </si>
  <si>
    <t>Мероприятие 6 подпрограммы 2</t>
  </si>
  <si>
    <t>Оплата работ (услуг) по подготовке и организации городских праздников</t>
  </si>
  <si>
    <t>0328711; 0320087110</t>
  </si>
  <si>
    <t>0328746</t>
  </si>
  <si>
    <t>0327511</t>
  </si>
  <si>
    <t xml:space="preserve">Мероприятие 7 подпрограммы 2 </t>
  </si>
  <si>
    <t>Финансовое обеспечение прочих мероприятий в области благоустройства</t>
  </si>
  <si>
    <t>0328710; 0320087100</t>
  </si>
  <si>
    <t>Администрация поселка Горячегорск</t>
  </si>
  <si>
    <t>0328710</t>
  </si>
  <si>
    <t>Мероприятие 8 подпрограммы 2</t>
  </si>
  <si>
    <t>Оплата работ (услуг) в части озеленения муниципального образования</t>
  </si>
  <si>
    <t>0328702; 0320087020</t>
  </si>
  <si>
    <t>0328702</t>
  </si>
  <si>
    <t>Мероприятие 9 подпрограммы 2</t>
  </si>
  <si>
    <t>Оплата работ (услуг) по выкосу территории муниципального образования</t>
  </si>
  <si>
    <t>0328703</t>
  </si>
  <si>
    <t>Мероприятие 10 подпрограммы 2</t>
  </si>
  <si>
    <t>Оплата работ (услуг) на ремонт сетей уличного освещения и пешеходной дорожки в п. Дубинино</t>
  </si>
  <si>
    <t>0328745</t>
  </si>
  <si>
    <t>Мероприятие 11 подпрограммы 2</t>
  </si>
  <si>
    <t xml:space="preserve">Реализация проектов по благоустройству территории поселений, городских округов </t>
  </si>
  <si>
    <t>0327741</t>
  </si>
  <si>
    <t>Мероприятие 12 подпрограммы 2</t>
  </si>
  <si>
    <t>Оплата работ (услуг) по содержанию и уходу за зелеными насаждениями на территории муниципального образования</t>
  </si>
  <si>
    <t>0328703; 0320087030</t>
  </si>
  <si>
    <t>Мероприятие 13 подпрограммы 2</t>
  </si>
  <si>
    <t>Оплата работ (услуг) по содержанию и ремонту МАФ</t>
  </si>
  <si>
    <t>0328780</t>
  </si>
  <si>
    <t>Мероприятие 14 подпрограммы 2</t>
  </si>
  <si>
    <t>Приобретение урн пластиковых</t>
  </si>
  <si>
    <t>0328775</t>
  </si>
  <si>
    <t>Мероприятие 15 подпрограммы 2</t>
  </si>
  <si>
    <t>Осуществление возмещения расходов, направленных на создание безопасных и комфортных условий функционирования объектов муниципальной собственности</t>
  </si>
  <si>
    <t>0327746</t>
  </si>
  <si>
    <t>Мероприятие 16 подпрограммы 2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</si>
  <si>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</t>
  </si>
  <si>
    <t>0328759</t>
  </si>
  <si>
    <t>Мероприятие 17 подпрограммы 2</t>
  </si>
  <si>
    <t>Оплата работ (услуг) по устройству постамента под памятник "Танк" на площади Победы в г. Шарыпово</t>
  </si>
  <si>
    <t>0328790</t>
  </si>
  <si>
    <t>Мероприятие 18 подпрограммы 2</t>
  </si>
  <si>
    <t>Оплата работ (услуг) по приобретению и установке МАФов в пос. Горячегорск</t>
  </si>
  <si>
    <t>0328791</t>
  </si>
  <si>
    <t>Мероприятие 19 подпрограммы 2</t>
  </si>
  <si>
    <t>Оплата работ (услуг) по выполнению проекта по благоустройству территории общего пользования по улице Комсомольской в г.Шарыпово (тех.решение по устройству дренажа)</t>
  </si>
  <si>
    <t>0328795</t>
  </si>
  <si>
    <t>Подпрограмма 3</t>
  </si>
  <si>
    <t>«Обеспечение реализации программы и прочие мероприятия»</t>
  </si>
  <si>
    <t>Мероприятие 1 подпрограммы 3</t>
  </si>
  <si>
    <t xml:space="preserve">Организация общественных работ для граждан, зарегистрированных в органах службы занятости в целях поиска подходящей работы и безработных граждан </t>
  </si>
  <si>
    <t>0401</t>
  </si>
  <si>
    <t>0338713; 0330087130</t>
  </si>
  <si>
    <t>111; 119</t>
  </si>
  <si>
    <t>121; 129</t>
  </si>
  <si>
    <t>Мероприятие 2 подпрограммы 3</t>
  </si>
  <si>
    <t>Расходы по содержанию жилых помещений, предоставляемых по договорам социального найма, договорам найма жилых помещений муниципального жилищного фонда</t>
  </si>
  <si>
    <t>0338715; 0330087150</t>
  </si>
  <si>
    <t>810</t>
  </si>
  <si>
    <t>Мероприятие 3 подпрограммы 3</t>
  </si>
  <si>
    <t xml:space="preserve">Реализация временных мер поддержки населения в целях обеспечения доступности коммунальных услуг </t>
  </si>
  <si>
    <t>0337578</t>
  </si>
  <si>
    <t>Мероприятие 4 подпрограммы 3</t>
  </si>
  <si>
    <t>Субсидии на возмещение разницы между экономически обоснованными расходами по содержанию и эксплуатации бани поселка Дубинино</t>
  </si>
  <si>
    <t>0338716; 0330087160</t>
  </si>
  <si>
    <t>Мероприятие 5 подпрограммы 3</t>
  </si>
  <si>
    <t>Обеспечение деятельности (оказание услуг) подведомственных учреждений в сфере жилищно-коммунального хозяйства</t>
  </si>
  <si>
    <t>0338705; 0330087050</t>
  </si>
  <si>
    <t>112</t>
  </si>
  <si>
    <t>0338705</t>
  </si>
  <si>
    <t>851                                                                 831</t>
  </si>
  <si>
    <t>Мероприятие 6 подпрограммы 3</t>
  </si>
  <si>
    <t xml:space="preserve">Долевое 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</t>
  </si>
  <si>
    <t>0338714; 03300S5710</t>
  </si>
  <si>
    <t>Мероприятие 7 подпрограммы 3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</si>
  <si>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</t>
  </si>
  <si>
    <t>0331021; 0330010210</t>
  </si>
  <si>
    <t>Мероприятие 8 подпрограммы 3</t>
  </si>
  <si>
    <t xml:space="preserve">Субсидии бюджетам муниципальных образований на разработку схем водоснабжения и водоотведения </t>
  </si>
  <si>
    <t>0337422</t>
  </si>
  <si>
    <t>Мероприятие 9 подпрограммы 3</t>
  </si>
  <si>
    <t xml:space="preserve">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</t>
  </si>
  <si>
    <t>0337571</t>
  </si>
  <si>
    <t>Мероприятие 10 подпрограммы 3</t>
  </si>
  <si>
    <t>Оплата взносов по капитальному ремонту общего имущества в многоквартирном доме за муниципальные жилые помещения в соответствии с Постановлением Правительства Красноярского края от 13.12.2013г. №656-п "Об установлении минимального размера взноса на капитальный ремонт общего имущества в многоквартирных домах, расположенных на территории Красноярского края, на 2014-2016 годы"</t>
  </si>
  <si>
    <t>0338764; 0330087640</t>
  </si>
  <si>
    <t>243                244</t>
  </si>
  <si>
    <t>Мероприятие 11 подпрограммы 3</t>
  </si>
  <si>
    <t>Реализация отдельных мер по обеспечению ограничения платы граждан за коммунальные услуги</t>
  </si>
  <si>
    <t>0337570; 0330075700</t>
  </si>
  <si>
    <t>Мероприятие 12 подпрограммы 3</t>
  </si>
  <si>
    <t xml:space="preserve">Расходы на повышение минимальных размеров окладов, ставок заработной платы работников бюджетной сферы, которым предоставляется региональная выплата, с 1 октября 2014 года на 10 процентов </t>
  </si>
  <si>
    <t>0331022</t>
  </si>
  <si>
    <t>121</t>
  </si>
  <si>
    <t>Мероприятие 13 подпрограммы 3</t>
  </si>
  <si>
    <t>Капитальный ремонт участков сетей водоснабжения в городе Шарыпово</t>
  </si>
  <si>
    <t>0338784</t>
  </si>
  <si>
    <t>Мероприятие 14 подпрограммы 3</t>
  </si>
  <si>
    <t>Мероприятие 15 подпрограммы 3</t>
  </si>
  <si>
    <t>Финансирование (возмещение) расходов по ремонту квартир,находящихся в муниципальной собственности п.Дубинино</t>
  </si>
  <si>
    <t>0338765</t>
  </si>
  <si>
    <t>Мероприятие 16 подпрограммы 3</t>
  </si>
  <si>
    <t>Капитальный ремонт водопроводного колодца на муниципальных сетях водоснабжения по улице Пионеров КАТЭКа в р.п. Дубинино</t>
  </si>
  <si>
    <t>0338794</t>
  </si>
  <si>
    <t>Мероприятие 17 подпрограммы 3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</si>
  <si>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труда)</t>
  </si>
  <si>
    <t>0330010220</t>
  </si>
  <si>
    <t>111</t>
  </si>
  <si>
    <t>119</t>
  </si>
  <si>
    <t>Подпрограмма 4</t>
  </si>
  <si>
    <t xml:space="preserve">«Переселение граждан из аварийного жилищного фонда муниципального образования город Шарыпово Красноярского края» </t>
  </si>
  <si>
    <t>Мероприятие 1 подпрограммы 4</t>
  </si>
  <si>
    <t>Мероприятия по переселению граждан из аварийного жилищного фонда, за исключением средств, поступивших от государственных корпораций-фонда содействия реформированию жилищно-коммунального хозяйства и средств краевого бюджета, направляемых на долевое финансирование</t>
  </si>
  <si>
    <t>03400S6020</t>
  </si>
  <si>
    <t>412</t>
  </si>
  <si>
    <t>Директор МКУ "СГХ"</t>
  </si>
  <si>
    <t>И.В. Шайганова</t>
  </si>
  <si>
    <t xml:space="preserve">Приложение № 2
к муниципальной программе «Реформирование и модернизация жилищно-коммунального хозяйства и повышение энергетической эффективности муниципального образования «город Шарыпово Красноярского края» </t>
  </si>
  <si>
    <t>Информация о ресурсном обеспечении и прогнозной оценке расходов на реализацию целей муниципальной программы муниципального образования города Шарыпово Красноярского края с учетом источников финансирования, в том числе средств федерального бюджета и краевого бюджета</t>
  </si>
  <si>
    <t>Статус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</si>
  <si>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</si>
  <si>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</si>
  <si>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>Оценка расходов (тыс. руб.), годы</t>
  </si>
  <si>
    <t xml:space="preserve">Реформирование и модернизация жилищно-коммунального хозяйства и повышение энергетической эффективности муниципального образования «город Шарыпово Красноярского края» </t>
  </si>
  <si>
    <t xml:space="preserve">Всего                    </t>
  </si>
  <si>
    <t xml:space="preserve">в том числе:             </t>
  </si>
  <si>
    <t xml:space="preserve">федеральный бюджет (*)   </t>
  </si>
  <si>
    <t xml:space="preserve">краевой бюджет  (**)         </t>
  </si>
  <si>
    <t xml:space="preserve">внебюджетные  источники                 </t>
  </si>
  <si>
    <t xml:space="preserve">городской бюджет    </t>
  </si>
  <si>
    <t>юридические лица</t>
  </si>
  <si>
    <t>«Энергосбережение и повышение энергетической эффективности в муниципальном образовании «город Шарыпово Красноярского края»»</t>
  </si>
  <si>
    <t xml:space="preserve"> </t>
  </si>
  <si>
    <t>Долевое финансирование собственников муниципальных жилых помещений  по установке общедомовых приборов учета в многоквартирных домах расположенных на территории  муниципального образования  «город Шарыпово Красноярского края» в рамках подпрограммы «Энергосбережение и повышение энергетической эффективности в муниципальном образовании «город Шарыпово Красноярского края»</t>
  </si>
  <si>
    <t>Мероприятие 7 подпрограммы 2</t>
  </si>
  <si>
    <t xml:space="preserve">«Обеспечение реализации программы и прочие мероприятия» </t>
  </si>
  <si>
    <t xml:space="preserve">Субсидии бюджетам муниципальных образований на 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</t>
  </si>
  <si>
    <t>Расходы на повышение минимальных размеров окладов, ставок заработной платы работников бюджетной сферы, которым предоставляется региональная выплата, с 1 октября 2014 года на 10 процентов</t>
  </si>
  <si>
    <t xml:space="preserve">Финансирование (возмещение) расходов по капитальному ремонту,реконструкции находящихся в муниципальной собственности объектов коммунальной инфраструктуры,источников тепловой энергии и тепловых сетей,объектов электросетевого хозяйства и источников электрической энергии,а так же приобретение технологического оборудования, спецтехники для обеспечения функционирования систем теплоснабжения,электроснабжения,водоснабжения,водоотведения и очистки сточных вод </t>
  </si>
  <si>
    <t xml:space="preserve">Приложение № 2
к Паспорту подпрограммы «Обеспечение реализации программы и прочие мероприятия» </t>
  </si>
  <si>
    <t xml:space="preserve">Перечень мероприятий подпрограммы 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</si>
  <si>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</si>
  <si>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</si>
  <si>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</si>
  <si>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ЦЕЛЬ: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</t>
  </si>
  <si>
    <t>Задача                                                                                                                                                                                       Повышение эффективности исполнения функций в сфере жилищно-коммунального хозяйства, благоустройства и озеленения территории</t>
  </si>
  <si>
    <t xml:space="preserve">Доведение доли исполненных бюджетных ассигнований, предусмотренных в муниципальной программе до 95 % </t>
  </si>
  <si>
    <t>226</t>
  </si>
  <si>
    <t>243                                                                                     244</t>
  </si>
  <si>
    <t>В том числе:</t>
  </si>
  <si>
    <t>ГРБС1</t>
  </si>
  <si>
    <t>ГРБС2</t>
  </si>
  <si>
    <t>ГРБС3</t>
  </si>
  <si>
    <t>ГРБС4</t>
  </si>
  <si>
    <t>Директор МКУ"СГХ"</t>
  </si>
  <si>
    <r>
      <t xml:space="preserve">Приложение № 1
к постановлению администрации города Шарыпово от </t>
    </r>
    <r>
      <rPr>
        <u/>
        <sz val="11"/>
        <color indexed="8"/>
        <rFont val="Times New Roman"/>
        <family val="1"/>
        <charset val="204"/>
      </rPr>
      <t>05.02.2016</t>
    </r>
    <r>
      <rPr>
        <sz val="11"/>
        <color indexed="8"/>
        <rFont val="Times New Roman"/>
        <family val="1"/>
        <charset val="204"/>
      </rPr>
      <t xml:space="preserve"> № </t>
    </r>
    <r>
      <rPr>
        <u/>
        <sz val="11"/>
        <color indexed="8"/>
        <rFont val="Times New Roman"/>
        <family val="1"/>
        <charset val="204"/>
      </rPr>
      <t>24</t>
    </r>
  </si>
  <si>
    <r>
      <t xml:space="preserve">Приложение № 2
к постановлению администрации города Шарыпово от </t>
    </r>
    <r>
      <rPr>
        <u/>
        <sz val="11"/>
        <color indexed="8"/>
        <rFont val="Times New Roman"/>
        <family val="1"/>
        <charset val="204"/>
      </rPr>
      <t>05.02.2016</t>
    </r>
    <r>
      <rPr>
        <sz val="11"/>
        <color indexed="8"/>
        <rFont val="Times New Roman"/>
        <family val="1"/>
        <charset val="204"/>
      </rPr>
      <t xml:space="preserve"> № </t>
    </r>
    <r>
      <rPr>
        <u/>
        <sz val="11"/>
        <color indexed="8"/>
        <rFont val="Times New Roman"/>
        <family val="1"/>
        <charset val="204"/>
      </rPr>
      <t>24</t>
    </r>
  </si>
  <si>
    <r>
      <t xml:space="preserve">Приложение № 3
к постановлению администрации города Шарыпово от </t>
    </r>
    <r>
      <rPr>
        <u/>
        <sz val="11"/>
        <color indexed="8"/>
        <rFont val="Times New Roman"/>
        <family val="1"/>
        <charset val="204"/>
      </rPr>
      <t>05.02.2016</t>
    </r>
    <r>
      <rPr>
        <sz val="11"/>
        <color indexed="8"/>
        <rFont val="Times New Roman"/>
        <family val="1"/>
        <charset val="204"/>
      </rPr>
      <t xml:space="preserve"> № </t>
    </r>
    <r>
      <rPr>
        <u/>
        <sz val="11"/>
        <color indexed="8"/>
        <rFont val="Times New Roman"/>
        <family val="1"/>
        <charset val="204"/>
      </rPr>
      <t>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</si>
</sst>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49" fontId="2" fillId="0" borderId="0" xfId="1" applyNumberFormat="1" applyFont="1" applyFill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Alignment="1">
      <alignment horizontal="left" vertical="center" wrapText="1"/>
    </xf>
    <xf numFmtId="2" fontId="2" fillId="0" borderId="0" xfId="1" applyNumberFormat="1" applyFont="1" applyFill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4" fontId="3" fillId="0" borderId="0" xfId="1" applyNumberFormat="1" applyFont="1" applyFill="1" applyAlignment="1">
      <alignment horizontal="left" vertical="center"/>
    </xf>
    <xf numFmtId="4" fontId="3" fillId="0" borderId="0" xfId="1" applyNumberFormat="1" applyFont="1" applyFill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" fontId="2" fillId="0" borderId="0" xfId="1" applyNumberFormat="1" applyFont="1" applyFill="1" applyAlignment="1">
      <alignment horizontal="center" vertical="center" wrapText="1"/>
    </xf>
    <xf numFmtId="4" fontId="2" fillId="0" borderId="0" xfId="1" applyNumberFormat="1" applyFont="1" applyFill="1" applyAlignment="1">
      <alignment horizontal="left" vertical="center"/>
    </xf>
    <xf numFmtId="2" fontId="4" fillId="0" borderId="0" xfId="1" applyNumberFormat="1" applyFont="1" applyFill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49" fontId="2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2" fillId="0" borderId="8" xfId="1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left" vertical="center" wrapText="1"/>
    </xf>
    <xf numFmtId="9" fontId="3" fillId="0" borderId="7" xfId="2" applyFont="1" applyFill="1" applyBorder="1" applyAlignment="1">
      <alignment horizontal="left" vertical="center" wrapText="1"/>
    </xf>
    <xf numFmtId="9" fontId="3" fillId="0" borderId="6" xfId="2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4" fontId="2" fillId="0" borderId="0" xfId="1" applyNumberFormat="1" applyFont="1" applyFill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2" fontId="2" fillId="0" borderId="9" xfId="1" applyNumberFormat="1" applyFont="1" applyFill="1" applyBorder="1" applyAlignment="1">
      <alignment horizontal="left" vertical="center" wrapText="1"/>
    </xf>
    <xf numFmtId="2" fontId="2" fillId="0" borderId="10" xfId="1" applyNumberFormat="1" applyFont="1" applyFill="1" applyBorder="1" applyAlignment="1">
      <alignment horizontal="left" vertical="center" wrapText="1"/>
    </xf>
    <xf numFmtId="2" fontId="2" fillId="0" borderId="11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lovaPC\Desktop\&#1054;&#1073;&#1084;&#1077;&#1085;\&#1086;&#1090;%20&#1045;&#1084;&#1072;&#1096;&#1077;&#1074;&#1086;&#1081;\&#1087;&#1088;&#1086;&#1075;&#1088;&#1072;&#1084;&#1084;&#1099;%20&#1092;&#1077;&#1074;&#1088;&#1072;&#1083;&#1100;%202016\&#1052;&#1055;%20&#1046;&#1050;&#1061;%20&#1092;&#1077;&#1074;&#1088;&#1072;&#1083;&#1100;%202016\&#1052;&#1055;\&#1055;&#1088;&#1080;&#1083;&#1086;&#1078;&#1077;&#1085;&#1080;&#1103;%20&#1082;%20&#1052;&#1055;%20%20&#1046;&#1050;&#1061;%202016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  <sheetName val="Приложение 4"/>
      <sheetName val="Приложение 5"/>
    </sheetNames>
    <sheetDataSet>
      <sheetData sheetId="0" refreshError="1"/>
      <sheetData sheetId="1" refreshError="1"/>
      <sheetData sheetId="2">
        <row r="28">
          <cell r="H28">
            <v>431.74</v>
          </cell>
          <cell r="I28">
            <v>49.08</v>
          </cell>
          <cell r="J28">
            <v>100</v>
          </cell>
          <cell r="K28">
            <v>100</v>
          </cell>
          <cell r="L28">
            <v>100</v>
          </cell>
        </row>
        <row r="31">
          <cell r="H31">
            <v>89.54</v>
          </cell>
          <cell r="I31">
            <v>40.450000000000003</v>
          </cell>
          <cell r="J31">
            <v>200</v>
          </cell>
          <cell r="K31">
            <v>200</v>
          </cell>
          <cell r="L31">
            <v>200</v>
          </cell>
        </row>
        <row r="37">
          <cell r="H37">
            <v>388.21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H38">
            <v>1136.8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51">
          <cell r="H51">
            <v>28.54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H52">
            <v>0.28999999999999998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60">
          <cell r="H60">
            <v>5324.34</v>
          </cell>
          <cell r="I60">
            <v>6701.25</v>
          </cell>
          <cell r="J60">
            <v>7427.3</v>
          </cell>
          <cell r="K60">
            <v>7427.3</v>
          </cell>
          <cell r="L60">
            <v>7427.3</v>
          </cell>
        </row>
        <row r="63">
          <cell r="H63">
            <v>2310</v>
          </cell>
          <cell r="I63">
            <v>3913.04</v>
          </cell>
          <cell r="J63">
            <v>2816</v>
          </cell>
          <cell r="K63">
            <v>2816</v>
          </cell>
          <cell r="L63">
            <v>2816</v>
          </cell>
        </row>
        <row r="66">
          <cell r="H66">
            <v>200</v>
          </cell>
          <cell r="I66">
            <v>200</v>
          </cell>
          <cell r="J66">
            <v>200</v>
          </cell>
          <cell r="K66">
            <v>200</v>
          </cell>
          <cell r="L66">
            <v>200</v>
          </cell>
        </row>
        <row r="69">
          <cell r="H69">
            <v>539.69000000000005</v>
          </cell>
          <cell r="I69">
            <v>700</v>
          </cell>
          <cell r="J69">
            <v>500</v>
          </cell>
          <cell r="K69">
            <v>500</v>
          </cell>
          <cell r="L69">
            <v>500</v>
          </cell>
        </row>
        <row r="72">
          <cell r="H72">
            <v>21</v>
          </cell>
          <cell r="I72">
            <v>21</v>
          </cell>
          <cell r="J72">
            <v>21</v>
          </cell>
          <cell r="K72">
            <v>21</v>
          </cell>
          <cell r="L72">
            <v>21</v>
          </cell>
        </row>
        <row r="75">
          <cell r="H75">
            <v>277.35000000000002</v>
          </cell>
          <cell r="I75">
            <v>764.59</v>
          </cell>
          <cell r="J75">
            <v>2717.41</v>
          </cell>
          <cell r="K75">
            <v>2717.41</v>
          </cell>
          <cell r="L75">
            <v>2717.41</v>
          </cell>
        </row>
        <row r="76">
          <cell r="H76">
            <v>2470.12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H77">
            <v>0</v>
          </cell>
          <cell r="I77">
            <v>2467.41</v>
          </cell>
          <cell r="J77">
            <v>0</v>
          </cell>
          <cell r="K77">
            <v>0</v>
          </cell>
          <cell r="L77">
            <v>0</v>
          </cell>
        </row>
        <row r="78">
          <cell r="H78">
            <v>845.19</v>
          </cell>
          <cell r="I78">
            <v>500</v>
          </cell>
          <cell r="J78">
            <v>821.51</v>
          </cell>
          <cell r="K78">
            <v>821.51</v>
          </cell>
          <cell r="L78">
            <v>821.51</v>
          </cell>
        </row>
        <row r="84">
          <cell r="H84">
            <v>620.72</v>
          </cell>
          <cell r="I84">
            <v>1408.29</v>
          </cell>
          <cell r="J84">
            <v>1408.4</v>
          </cell>
          <cell r="K84">
            <v>1408.4</v>
          </cell>
          <cell r="L84">
            <v>1408.4</v>
          </cell>
        </row>
        <row r="89">
          <cell r="H89">
            <v>359.32</v>
          </cell>
          <cell r="I89">
            <v>0</v>
          </cell>
        </row>
        <row r="91">
          <cell r="J91">
            <v>0</v>
          </cell>
          <cell r="K91">
            <v>0</v>
          </cell>
          <cell r="L91">
            <v>0</v>
          </cell>
        </row>
        <row r="95">
          <cell r="H95">
            <v>117.7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8">
          <cell r="H98">
            <v>1000</v>
          </cell>
          <cell r="I98">
            <v>1075</v>
          </cell>
          <cell r="J98">
            <v>0</v>
          </cell>
          <cell r="K98">
            <v>0</v>
          </cell>
          <cell r="L98">
            <v>0</v>
          </cell>
        </row>
        <row r="101">
          <cell r="H101">
            <v>0</v>
          </cell>
          <cell r="I101">
            <v>570</v>
          </cell>
          <cell r="J101">
            <v>1050</v>
          </cell>
          <cell r="K101">
            <v>1050</v>
          </cell>
          <cell r="L101">
            <v>1050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H107">
            <v>0</v>
          </cell>
          <cell r="I107">
            <v>99.75</v>
          </cell>
          <cell r="J107">
            <v>0</v>
          </cell>
          <cell r="K107">
            <v>0</v>
          </cell>
          <cell r="L107">
            <v>0</v>
          </cell>
        </row>
        <row r="108">
          <cell r="H108">
            <v>0</v>
          </cell>
          <cell r="I108">
            <v>1484.9</v>
          </cell>
          <cell r="J108">
            <v>0</v>
          </cell>
          <cell r="K108">
            <v>0</v>
          </cell>
          <cell r="L108">
            <v>0</v>
          </cell>
        </row>
        <row r="113">
          <cell r="H113">
            <v>0</v>
          </cell>
          <cell r="I113">
            <v>14.9</v>
          </cell>
          <cell r="J113">
            <v>0</v>
          </cell>
          <cell r="K113">
            <v>0</v>
          </cell>
          <cell r="L113">
            <v>0</v>
          </cell>
        </row>
        <row r="116">
          <cell r="H116">
            <v>0</v>
          </cell>
          <cell r="I116">
            <v>260</v>
          </cell>
          <cell r="J116">
            <v>0</v>
          </cell>
          <cell r="K116">
            <v>0</v>
          </cell>
          <cell r="L116">
            <v>0</v>
          </cell>
        </row>
        <row r="119">
          <cell r="H119">
            <v>0</v>
          </cell>
          <cell r="I119">
            <v>200</v>
          </cell>
          <cell r="J119">
            <v>0</v>
          </cell>
          <cell r="K119">
            <v>0</v>
          </cell>
          <cell r="L119">
            <v>0</v>
          </cell>
        </row>
        <row r="122">
          <cell r="H122">
            <v>0</v>
          </cell>
          <cell r="I122">
            <v>46.17</v>
          </cell>
          <cell r="J122">
            <v>0</v>
          </cell>
          <cell r="K122">
            <v>0</v>
          </cell>
          <cell r="L122">
            <v>0</v>
          </cell>
        </row>
        <row r="129">
          <cell r="H129">
            <v>246.85</v>
          </cell>
          <cell r="I129">
            <v>233.92</v>
          </cell>
          <cell r="J129">
            <v>164.39999999999998</v>
          </cell>
          <cell r="K129">
            <v>164.39999999999998</v>
          </cell>
          <cell r="L129">
            <v>164.39999999999998</v>
          </cell>
        </row>
        <row r="136">
          <cell r="H136">
            <v>123.16</v>
          </cell>
          <cell r="I136">
            <v>124.18</v>
          </cell>
          <cell r="J136">
            <v>141.83000000000001</v>
          </cell>
          <cell r="K136">
            <v>223</v>
          </cell>
          <cell r="L136">
            <v>223</v>
          </cell>
        </row>
        <row r="137">
          <cell r="H137">
            <v>7989.4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43">
          <cell r="H143">
            <v>600</v>
          </cell>
          <cell r="I143">
            <v>600</v>
          </cell>
          <cell r="J143">
            <v>600</v>
          </cell>
          <cell r="K143">
            <v>600</v>
          </cell>
          <cell r="L143">
            <v>600</v>
          </cell>
        </row>
        <row r="144">
          <cell r="H144">
            <v>11038.61</v>
          </cell>
          <cell r="I144">
            <v>11324.811799999998</v>
          </cell>
          <cell r="J144">
            <v>11297.07</v>
          </cell>
          <cell r="K144">
            <v>11300.039999999999</v>
          </cell>
          <cell r="L144">
            <v>11300.039999999999</v>
          </cell>
        </row>
        <row r="154">
          <cell r="H154">
            <v>124.1</v>
          </cell>
          <cell r="I154">
            <v>124.1</v>
          </cell>
          <cell r="J154">
            <v>124.1</v>
          </cell>
          <cell r="K154">
            <v>124.1</v>
          </cell>
          <cell r="L154">
            <v>124.1</v>
          </cell>
        </row>
        <row r="155">
          <cell r="H155">
            <v>59.11</v>
          </cell>
          <cell r="I155">
            <v>119.15</v>
          </cell>
          <cell r="J155">
            <v>323.53999999999996</v>
          </cell>
          <cell r="K155">
            <v>323.53999999999996</v>
          </cell>
          <cell r="L155">
            <v>323.53999999999996</v>
          </cell>
        </row>
        <row r="161">
          <cell r="H161">
            <v>2288.5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4">
          <cell r="H164">
            <v>8600</v>
          </cell>
          <cell r="I164">
            <v>3928.5</v>
          </cell>
          <cell r="J164">
            <v>0</v>
          </cell>
          <cell r="K164">
            <v>0</v>
          </cell>
          <cell r="L164">
            <v>0</v>
          </cell>
        </row>
        <row r="167">
          <cell r="H167">
            <v>823.12</v>
          </cell>
          <cell r="I167">
            <v>3923.08</v>
          </cell>
          <cell r="J167">
            <v>4200.6000000000004</v>
          </cell>
          <cell r="K167">
            <v>4200.6000000000004</v>
          </cell>
          <cell r="L167">
            <v>4200.6000000000004</v>
          </cell>
        </row>
        <row r="168">
          <cell r="H168">
            <v>0</v>
          </cell>
          <cell r="I168">
            <v>4227.32</v>
          </cell>
          <cell r="J168">
            <v>10793.7</v>
          </cell>
          <cell r="K168">
            <v>10793.7</v>
          </cell>
          <cell r="L168">
            <v>10793.7</v>
          </cell>
        </row>
        <row r="173">
          <cell r="H173">
            <v>8.6199999999999992</v>
          </cell>
          <cell r="I173">
            <v>0</v>
          </cell>
          <cell r="K173">
            <v>0</v>
          </cell>
          <cell r="L173">
            <v>0</v>
          </cell>
        </row>
        <row r="176">
          <cell r="H176">
            <v>0</v>
          </cell>
          <cell r="I176">
            <v>350.25</v>
          </cell>
          <cell r="J176">
            <v>0</v>
          </cell>
          <cell r="K176">
            <v>0</v>
          </cell>
          <cell r="L176">
            <v>0</v>
          </cell>
        </row>
        <row r="179">
          <cell r="H179">
            <v>0</v>
          </cell>
          <cell r="I179">
            <v>7900</v>
          </cell>
          <cell r="J179">
            <v>0</v>
          </cell>
          <cell r="K179">
            <v>0</v>
          </cell>
          <cell r="L179">
            <v>0</v>
          </cell>
        </row>
        <row r="182">
          <cell r="H182">
            <v>0</v>
          </cell>
          <cell r="I182">
            <v>45</v>
          </cell>
          <cell r="J182">
            <v>0</v>
          </cell>
          <cell r="K182">
            <v>0</v>
          </cell>
          <cell r="L182">
            <v>0</v>
          </cell>
        </row>
        <row r="185">
          <cell r="H185">
            <v>0</v>
          </cell>
          <cell r="I185">
            <v>54.5</v>
          </cell>
          <cell r="J185">
            <v>0</v>
          </cell>
          <cell r="K185">
            <v>0</v>
          </cell>
          <cell r="L185">
            <v>0</v>
          </cell>
        </row>
        <row r="186">
          <cell r="H186">
            <v>0</v>
          </cell>
          <cell r="I186">
            <v>0</v>
          </cell>
          <cell r="J186">
            <v>2.9689999999999999</v>
          </cell>
          <cell r="K186">
            <v>0</v>
          </cell>
          <cell r="L186">
            <v>0</v>
          </cell>
        </row>
        <row r="195">
          <cell r="H195">
            <v>0</v>
          </cell>
          <cell r="I195">
            <v>0</v>
          </cell>
          <cell r="J195">
            <v>195.5</v>
          </cell>
          <cell r="K195">
            <v>0</v>
          </cell>
          <cell r="L195">
            <v>0</v>
          </cell>
        </row>
      </sheetData>
      <sheetData sheetId="3">
        <row r="8">
          <cell r="B8" t="str">
            <v xml:space="preserve">Реформирование и модернизация жилищно-коммунального хозяйства и повышение энергетической эффективности муниципального образования «город Шарыпово Красноярского края» 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9"/>
  <sheetViews>
    <sheetView tabSelected="1" view="pageBreakPreview" zoomScale="60" zoomScaleNormal="75" workbookViewId="0">
      <selection activeCell="G2" sqref="G2:M2"/>
    </sheetView>
  </sheetViews>
  <sheetFormatPr defaultRowHeight="15" x14ac:dyDescent="0.25"/>
  <cols>
    <col min="1" max="1" width="17.5703125" style="1" customWidth="1"/>
    <col min="2" max="2" width="34.42578125" style="2" customWidth="1"/>
    <col min="3" max="3" width="37.42578125" style="1" customWidth="1"/>
    <col min="4" max="4" width="9.5703125" style="3" customWidth="1"/>
    <col min="5" max="5" width="9.42578125" style="3" customWidth="1"/>
    <col min="6" max="6" width="13.28515625" style="3" customWidth="1"/>
    <col min="7" max="7" width="9.140625" style="3"/>
    <col min="8" max="8" width="11.85546875" style="41" customWidth="1"/>
    <col min="9" max="9" width="11.42578125" style="41" customWidth="1"/>
    <col min="10" max="12" width="11" style="41" customWidth="1"/>
    <col min="13" max="13" width="13.28515625" style="41" customWidth="1"/>
    <col min="14" max="14" width="17" style="2" customWidth="1"/>
    <col min="15" max="18" width="11.42578125" style="1" customWidth="1"/>
    <col min="19" max="19" width="10.7109375" style="1" customWidth="1"/>
    <col min="20" max="256" width="9.140625" style="1"/>
    <col min="257" max="257" width="17.5703125" style="1" customWidth="1"/>
    <col min="258" max="258" width="34.42578125" style="1" customWidth="1"/>
    <col min="259" max="259" width="37.42578125" style="1" customWidth="1"/>
    <col min="260" max="260" width="9.5703125" style="1" customWidth="1"/>
    <col min="261" max="261" width="9.42578125" style="1" customWidth="1"/>
    <col min="262" max="262" width="13.28515625" style="1" customWidth="1"/>
    <col min="263" max="263" width="9.140625" style="1"/>
    <col min="264" max="264" width="11.85546875" style="1" customWidth="1"/>
    <col min="265" max="265" width="11.42578125" style="1" customWidth="1"/>
    <col min="266" max="268" width="11" style="1" customWidth="1"/>
    <col min="269" max="269" width="13.28515625" style="1" customWidth="1"/>
    <col min="270" max="270" width="17" style="1" customWidth="1"/>
    <col min="271" max="274" width="11.42578125" style="1" customWidth="1"/>
    <col min="275" max="275" width="10.7109375" style="1" customWidth="1"/>
    <col min="276" max="512" width="9.140625" style="1"/>
    <col min="513" max="513" width="17.5703125" style="1" customWidth="1"/>
    <col min="514" max="514" width="34.42578125" style="1" customWidth="1"/>
    <col min="515" max="515" width="37.42578125" style="1" customWidth="1"/>
    <col min="516" max="516" width="9.5703125" style="1" customWidth="1"/>
    <col min="517" max="517" width="9.42578125" style="1" customWidth="1"/>
    <col min="518" max="518" width="13.28515625" style="1" customWidth="1"/>
    <col min="519" max="519" width="9.140625" style="1"/>
    <col min="520" max="520" width="11.85546875" style="1" customWidth="1"/>
    <col min="521" max="521" width="11.42578125" style="1" customWidth="1"/>
    <col min="522" max="524" width="11" style="1" customWidth="1"/>
    <col min="525" max="525" width="13.28515625" style="1" customWidth="1"/>
    <col min="526" max="526" width="17" style="1" customWidth="1"/>
    <col min="527" max="530" width="11.42578125" style="1" customWidth="1"/>
    <col min="531" max="531" width="10.7109375" style="1" customWidth="1"/>
    <col min="532" max="768" width="9.140625" style="1"/>
    <col min="769" max="769" width="17.5703125" style="1" customWidth="1"/>
    <col min="770" max="770" width="34.42578125" style="1" customWidth="1"/>
    <col min="771" max="771" width="37.42578125" style="1" customWidth="1"/>
    <col min="772" max="772" width="9.5703125" style="1" customWidth="1"/>
    <col min="773" max="773" width="9.42578125" style="1" customWidth="1"/>
    <col min="774" max="774" width="13.28515625" style="1" customWidth="1"/>
    <col min="775" max="775" width="9.140625" style="1"/>
    <col min="776" max="776" width="11.85546875" style="1" customWidth="1"/>
    <col min="777" max="777" width="11.42578125" style="1" customWidth="1"/>
    <col min="778" max="780" width="11" style="1" customWidth="1"/>
    <col min="781" max="781" width="13.28515625" style="1" customWidth="1"/>
    <col min="782" max="782" width="17" style="1" customWidth="1"/>
    <col min="783" max="786" width="11.42578125" style="1" customWidth="1"/>
    <col min="787" max="787" width="10.7109375" style="1" customWidth="1"/>
    <col min="788" max="1024" width="9.140625" style="1"/>
    <col min="1025" max="1025" width="17.5703125" style="1" customWidth="1"/>
    <col min="1026" max="1026" width="34.42578125" style="1" customWidth="1"/>
    <col min="1027" max="1027" width="37.42578125" style="1" customWidth="1"/>
    <col min="1028" max="1028" width="9.5703125" style="1" customWidth="1"/>
    <col min="1029" max="1029" width="9.42578125" style="1" customWidth="1"/>
    <col min="1030" max="1030" width="13.28515625" style="1" customWidth="1"/>
    <col min="1031" max="1031" width="9.140625" style="1"/>
    <col min="1032" max="1032" width="11.85546875" style="1" customWidth="1"/>
    <col min="1033" max="1033" width="11.42578125" style="1" customWidth="1"/>
    <col min="1034" max="1036" width="11" style="1" customWidth="1"/>
    <col min="1037" max="1037" width="13.28515625" style="1" customWidth="1"/>
    <col min="1038" max="1038" width="17" style="1" customWidth="1"/>
    <col min="1039" max="1042" width="11.42578125" style="1" customWidth="1"/>
    <col min="1043" max="1043" width="10.7109375" style="1" customWidth="1"/>
    <col min="1044" max="1280" width="9.140625" style="1"/>
    <col min="1281" max="1281" width="17.5703125" style="1" customWidth="1"/>
    <col min="1282" max="1282" width="34.42578125" style="1" customWidth="1"/>
    <col min="1283" max="1283" width="37.42578125" style="1" customWidth="1"/>
    <col min="1284" max="1284" width="9.5703125" style="1" customWidth="1"/>
    <col min="1285" max="1285" width="9.42578125" style="1" customWidth="1"/>
    <col min="1286" max="1286" width="13.28515625" style="1" customWidth="1"/>
    <col min="1287" max="1287" width="9.140625" style="1"/>
    <col min="1288" max="1288" width="11.85546875" style="1" customWidth="1"/>
    <col min="1289" max="1289" width="11.42578125" style="1" customWidth="1"/>
    <col min="1290" max="1292" width="11" style="1" customWidth="1"/>
    <col min="1293" max="1293" width="13.28515625" style="1" customWidth="1"/>
    <col min="1294" max="1294" width="17" style="1" customWidth="1"/>
    <col min="1295" max="1298" width="11.42578125" style="1" customWidth="1"/>
    <col min="1299" max="1299" width="10.7109375" style="1" customWidth="1"/>
    <col min="1300" max="1536" width="9.140625" style="1"/>
    <col min="1537" max="1537" width="17.5703125" style="1" customWidth="1"/>
    <col min="1538" max="1538" width="34.42578125" style="1" customWidth="1"/>
    <col min="1539" max="1539" width="37.42578125" style="1" customWidth="1"/>
    <col min="1540" max="1540" width="9.5703125" style="1" customWidth="1"/>
    <col min="1541" max="1541" width="9.42578125" style="1" customWidth="1"/>
    <col min="1542" max="1542" width="13.28515625" style="1" customWidth="1"/>
    <col min="1543" max="1543" width="9.140625" style="1"/>
    <col min="1544" max="1544" width="11.85546875" style="1" customWidth="1"/>
    <col min="1545" max="1545" width="11.42578125" style="1" customWidth="1"/>
    <col min="1546" max="1548" width="11" style="1" customWidth="1"/>
    <col min="1549" max="1549" width="13.28515625" style="1" customWidth="1"/>
    <col min="1550" max="1550" width="17" style="1" customWidth="1"/>
    <col min="1551" max="1554" width="11.42578125" style="1" customWidth="1"/>
    <col min="1555" max="1555" width="10.7109375" style="1" customWidth="1"/>
    <col min="1556" max="1792" width="9.140625" style="1"/>
    <col min="1793" max="1793" width="17.5703125" style="1" customWidth="1"/>
    <col min="1794" max="1794" width="34.42578125" style="1" customWidth="1"/>
    <col min="1795" max="1795" width="37.42578125" style="1" customWidth="1"/>
    <col min="1796" max="1796" width="9.5703125" style="1" customWidth="1"/>
    <col min="1797" max="1797" width="9.42578125" style="1" customWidth="1"/>
    <col min="1798" max="1798" width="13.28515625" style="1" customWidth="1"/>
    <col min="1799" max="1799" width="9.140625" style="1"/>
    <col min="1800" max="1800" width="11.85546875" style="1" customWidth="1"/>
    <col min="1801" max="1801" width="11.42578125" style="1" customWidth="1"/>
    <col min="1802" max="1804" width="11" style="1" customWidth="1"/>
    <col min="1805" max="1805" width="13.28515625" style="1" customWidth="1"/>
    <col min="1806" max="1806" width="17" style="1" customWidth="1"/>
    <col min="1807" max="1810" width="11.42578125" style="1" customWidth="1"/>
    <col min="1811" max="1811" width="10.7109375" style="1" customWidth="1"/>
    <col min="1812" max="2048" width="9.140625" style="1"/>
    <col min="2049" max="2049" width="17.5703125" style="1" customWidth="1"/>
    <col min="2050" max="2050" width="34.42578125" style="1" customWidth="1"/>
    <col min="2051" max="2051" width="37.42578125" style="1" customWidth="1"/>
    <col min="2052" max="2052" width="9.5703125" style="1" customWidth="1"/>
    <col min="2053" max="2053" width="9.42578125" style="1" customWidth="1"/>
    <col min="2054" max="2054" width="13.28515625" style="1" customWidth="1"/>
    <col min="2055" max="2055" width="9.140625" style="1"/>
    <col min="2056" max="2056" width="11.85546875" style="1" customWidth="1"/>
    <col min="2057" max="2057" width="11.42578125" style="1" customWidth="1"/>
    <col min="2058" max="2060" width="11" style="1" customWidth="1"/>
    <col min="2061" max="2061" width="13.28515625" style="1" customWidth="1"/>
    <col min="2062" max="2062" width="17" style="1" customWidth="1"/>
    <col min="2063" max="2066" width="11.42578125" style="1" customWidth="1"/>
    <col min="2067" max="2067" width="10.7109375" style="1" customWidth="1"/>
    <col min="2068" max="2304" width="9.140625" style="1"/>
    <col min="2305" max="2305" width="17.5703125" style="1" customWidth="1"/>
    <col min="2306" max="2306" width="34.42578125" style="1" customWidth="1"/>
    <col min="2307" max="2307" width="37.42578125" style="1" customWidth="1"/>
    <col min="2308" max="2308" width="9.5703125" style="1" customWidth="1"/>
    <col min="2309" max="2309" width="9.42578125" style="1" customWidth="1"/>
    <col min="2310" max="2310" width="13.28515625" style="1" customWidth="1"/>
    <col min="2311" max="2311" width="9.140625" style="1"/>
    <col min="2312" max="2312" width="11.85546875" style="1" customWidth="1"/>
    <col min="2313" max="2313" width="11.42578125" style="1" customWidth="1"/>
    <col min="2314" max="2316" width="11" style="1" customWidth="1"/>
    <col min="2317" max="2317" width="13.28515625" style="1" customWidth="1"/>
    <col min="2318" max="2318" width="17" style="1" customWidth="1"/>
    <col min="2319" max="2322" width="11.42578125" style="1" customWidth="1"/>
    <col min="2323" max="2323" width="10.7109375" style="1" customWidth="1"/>
    <col min="2324" max="2560" width="9.140625" style="1"/>
    <col min="2561" max="2561" width="17.5703125" style="1" customWidth="1"/>
    <col min="2562" max="2562" width="34.42578125" style="1" customWidth="1"/>
    <col min="2563" max="2563" width="37.42578125" style="1" customWidth="1"/>
    <col min="2564" max="2564" width="9.5703125" style="1" customWidth="1"/>
    <col min="2565" max="2565" width="9.42578125" style="1" customWidth="1"/>
    <col min="2566" max="2566" width="13.28515625" style="1" customWidth="1"/>
    <col min="2567" max="2567" width="9.140625" style="1"/>
    <col min="2568" max="2568" width="11.85546875" style="1" customWidth="1"/>
    <col min="2569" max="2569" width="11.42578125" style="1" customWidth="1"/>
    <col min="2570" max="2572" width="11" style="1" customWidth="1"/>
    <col min="2573" max="2573" width="13.28515625" style="1" customWidth="1"/>
    <col min="2574" max="2574" width="17" style="1" customWidth="1"/>
    <col min="2575" max="2578" width="11.42578125" style="1" customWidth="1"/>
    <col min="2579" max="2579" width="10.7109375" style="1" customWidth="1"/>
    <col min="2580" max="2816" width="9.140625" style="1"/>
    <col min="2817" max="2817" width="17.5703125" style="1" customWidth="1"/>
    <col min="2818" max="2818" width="34.42578125" style="1" customWidth="1"/>
    <col min="2819" max="2819" width="37.42578125" style="1" customWidth="1"/>
    <col min="2820" max="2820" width="9.5703125" style="1" customWidth="1"/>
    <col min="2821" max="2821" width="9.42578125" style="1" customWidth="1"/>
    <col min="2822" max="2822" width="13.28515625" style="1" customWidth="1"/>
    <col min="2823" max="2823" width="9.140625" style="1"/>
    <col min="2824" max="2824" width="11.85546875" style="1" customWidth="1"/>
    <col min="2825" max="2825" width="11.42578125" style="1" customWidth="1"/>
    <col min="2826" max="2828" width="11" style="1" customWidth="1"/>
    <col min="2829" max="2829" width="13.28515625" style="1" customWidth="1"/>
    <col min="2830" max="2830" width="17" style="1" customWidth="1"/>
    <col min="2831" max="2834" width="11.42578125" style="1" customWidth="1"/>
    <col min="2835" max="2835" width="10.7109375" style="1" customWidth="1"/>
    <col min="2836" max="3072" width="9.140625" style="1"/>
    <col min="3073" max="3073" width="17.5703125" style="1" customWidth="1"/>
    <col min="3074" max="3074" width="34.42578125" style="1" customWidth="1"/>
    <col min="3075" max="3075" width="37.42578125" style="1" customWidth="1"/>
    <col min="3076" max="3076" width="9.5703125" style="1" customWidth="1"/>
    <col min="3077" max="3077" width="9.42578125" style="1" customWidth="1"/>
    <col min="3078" max="3078" width="13.28515625" style="1" customWidth="1"/>
    <col min="3079" max="3079" width="9.140625" style="1"/>
    <col min="3080" max="3080" width="11.85546875" style="1" customWidth="1"/>
    <col min="3081" max="3081" width="11.42578125" style="1" customWidth="1"/>
    <col min="3082" max="3084" width="11" style="1" customWidth="1"/>
    <col min="3085" max="3085" width="13.28515625" style="1" customWidth="1"/>
    <col min="3086" max="3086" width="17" style="1" customWidth="1"/>
    <col min="3087" max="3090" width="11.42578125" style="1" customWidth="1"/>
    <col min="3091" max="3091" width="10.7109375" style="1" customWidth="1"/>
    <col min="3092" max="3328" width="9.140625" style="1"/>
    <col min="3329" max="3329" width="17.5703125" style="1" customWidth="1"/>
    <col min="3330" max="3330" width="34.42578125" style="1" customWidth="1"/>
    <col min="3331" max="3331" width="37.42578125" style="1" customWidth="1"/>
    <col min="3332" max="3332" width="9.5703125" style="1" customWidth="1"/>
    <col min="3333" max="3333" width="9.42578125" style="1" customWidth="1"/>
    <col min="3334" max="3334" width="13.28515625" style="1" customWidth="1"/>
    <col min="3335" max="3335" width="9.140625" style="1"/>
    <col min="3336" max="3336" width="11.85546875" style="1" customWidth="1"/>
    <col min="3337" max="3337" width="11.42578125" style="1" customWidth="1"/>
    <col min="3338" max="3340" width="11" style="1" customWidth="1"/>
    <col min="3341" max="3341" width="13.28515625" style="1" customWidth="1"/>
    <col min="3342" max="3342" width="17" style="1" customWidth="1"/>
    <col min="3343" max="3346" width="11.42578125" style="1" customWidth="1"/>
    <col min="3347" max="3347" width="10.7109375" style="1" customWidth="1"/>
    <col min="3348" max="3584" width="9.140625" style="1"/>
    <col min="3585" max="3585" width="17.5703125" style="1" customWidth="1"/>
    <col min="3586" max="3586" width="34.42578125" style="1" customWidth="1"/>
    <col min="3587" max="3587" width="37.42578125" style="1" customWidth="1"/>
    <col min="3588" max="3588" width="9.5703125" style="1" customWidth="1"/>
    <col min="3589" max="3589" width="9.42578125" style="1" customWidth="1"/>
    <col min="3590" max="3590" width="13.28515625" style="1" customWidth="1"/>
    <col min="3591" max="3591" width="9.140625" style="1"/>
    <col min="3592" max="3592" width="11.85546875" style="1" customWidth="1"/>
    <col min="3593" max="3593" width="11.42578125" style="1" customWidth="1"/>
    <col min="3594" max="3596" width="11" style="1" customWidth="1"/>
    <col min="3597" max="3597" width="13.28515625" style="1" customWidth="1"/>
    <col min="3598" max="3598" width="17" style="1" customWidth="1"/>
    <col min="3599" max="3602" width="11.42578125" style="1" customWidth="1"/>
    <col min="3603" max="3603" width="10.7109375" style="1" customWidth="1"/>
    <col min="3604" max="3840" width="9.140625" style="1"/>
    <col min="3841" max="3841" width="17.5703125" style="1" customWidth="1"/>
    <col min="3842" max="3842" width="34.42578125" style="1" customWidth="1"/>
    <col min="3843" max="3843" width="37.42578125" style="1" customWidth="1"/>
    <col min="3844" max="3844" width="9.5703125" style="1" customWidth="1"/>
    <col min="3845" max="3845" width="9.42578125" style="1" customWidth="1"/>
    <col min="3846" max="3846" width="13.28515625" style="1" customWidth="1"/>
    <col min="3847" max="3847" width="9.140625" style="1"/>
    <col min="3848" max="3848" width="11.85546875" style="1" customWidth="1"/>
    <col min="3849" max="3849" width="11.42578125" style="1" customWidth="1"/>
    <col min="3850" max="3852" width="11" style="1" customWidth="1"/>
    <col min="3853" max="3853" width="13.28515625" style="1" customWidth="1"/>
    <col min="3854" max="3854" width="17" style="1" customWidth="1"/>
    <col min="3855" max="3858" width="11.42578125" style="1" customWidth="1"/>
    <col min="3859" max="3859" width="10.7109375" style="1" customWidth="1"/>
    <col min="3860" max="4096" width="9.140625" style="1"/>
    <col min="4097" max="4097" width="17.5703125" style="1" customWidth="1"/>
    <col min="4098" max="4098" width="34.42578125" style="1" customWidth="1"/>
    <col min="4099" max="4099" width="37.42578125" style="1" customWidth="1"/>
    <col min="4100" max="4100" width="9.5703125" style="1" customWidth="1"/>
    <col min="4101" max="4101" width="9.42578125" style="1" customWidth="1"/>
    <col min="4102" max="4102" width="13.28515625" style="1" customWidth="1"/>
    <col min="4103" max="4103" width="9.140625" style="1"/>
    <col min="4104" max="4104" width="11.85546875" style="1" customWidth="1"/>
    <col min="4105" max="4105" width="11.42578125" style="1" customWidth="1"/>
    <col min="4106" max="4108" width="11" style="1" customWidth="1"/>
    <col min="4109" max="4109" width="13.28515625" style="1" customWidth="1"/>
    <col min="4110" max="4110" width="17" style="1" customWidth="1"/>
    <col min="4111" max="4114" width="11.42578125" style="1" customWidth="1"/>
    <col min="4115" max="4115" width="10.7109375" style="1" customWidth="1"/>
    <col min="4116" max="4352" width="9.140625" style="1"/>
    <col min="4353" max="4353" width="17.5703125" style="1" customWidth="1"/>
    <col min="4354" max="4354" width="34.42578125" style="1" customWidth="1"/>
    <col min="4355" max="4355" width="37.42578125" style="1" customWidth="1"/>
    <col min="4356" max="4356" width="9.5703125" style="1" customWidth="1"/>
    <col min="4357" max="4357" width="9.42578125" style="1" customWidth="1"/>
    <col min="4358" max="4358" width="13.28515625" style="1" customWidth="1"/>
    <col min="4359" max="4359" width="9.140625" style="1"/>
    <col min="4360" max="4360" width="11.85546875" style="1" customWidth="1"/>
    <col min="4361" max="4361" width="11.42578125" style="1" customWidth="1"/>
    <col min="4362" max="4364" width="11" style="1" customWidth="1"/>
    <col min="4365" max="4365" width="13.28515625" style="1" customWidth="1"/>
    <col min="4366" max="4366" width="17" style="1" customWidth="1"/>
    <col min="4367" max="4370" width="11.42578125" style="1" customWidth="1"/>
    <col min="4371" max="4371" width="10.7109375" style="1" customWidth="1"/>
    <col min="4372" max="4608" width="9.140625" style="1"/>
    <col min="4609" max="4609" width="17.5703125" style="1" customWidth="1"/>
    <col min="4610" max="4610" width="34.42578125" style="1" customWidth="1"/>
    <col min="4611" max="4611" width="37.42578125" style="1" customWidth="1"/>
    <col min="4612" max="4612" width="9.5703125" style="1" customWidth="1"/>
    <col min="4613" max="4613" width="9.42578125" style="1" customWidth="1"/>
    <col min="4614" max="4614" width="13.28515625" style="1" customWidth="1"/>
    <col min="4615" max="4615" width="9.140625" style="1"/>
    <col min="4616" max="4616" width="11.85546875" style="1" customWidth="1"/>
    <col min="4617" max="4617" width="11.42578125" style="1" customWidth="1"/>
    <col min="4618" max="4620" width="11" style="1" customWidth="1"/>
    <col min="4621" max="4621" width="13.28515625" style="1" customWidth="1"/>
    <col min="4622" max="4622" width="17" style="1" customWidth="1"/>
    <col min="4623" max="4626" width="11.42578125" style="1" customWidth="1"/>
    <col min="4627" max="4627" width="10.7109375" style="1" customWidth="1"/>
    <col min="4628" max="4864" width="9.140625" style="1"/>
    <col min="4865" max="4865" width="17.5703125" style="1" customWidth="1"/>
    <col min="4866" max="4866" width="34.42578125" style="1" customWidth="1"/>
    <col min="4867" max="4867" width="37.42578125" style="1" customWidth="1"/>
    <col min="4868" max="4868" width="9.5703125" style="1" customWidth="1"/>
    <col min="4869" max="4869" width="9.42578125" style="1" customWidth="1"/>
    <col min="4870" max="4870" width="13.28515625" style="1" customWidth="1"/>
    <col min="4871" max="4871" width="9.140625" style="1"/>
    <col min="4872" max="4872" width="11.85546875" style="1" customWidth="1"/>
    <col min="4873" max="4873" width="11.42578125" style="1" customWidth="1"/>
    <col min="4874" max="4876" width="11" style="1" customWidth="1"/>
    <col min="4877" max="4877" width="13.28515625" style="1" customWidth="1"/>
    <col min="4878" max="4878" width="17" style="1" customWidth="1"/>
    <col min="4879" max="4882" width="11.42578125" style="1" customWidth="1"/>
    <col min="4883" max="4883" width="10.7109375" style="1" customWidth="1"/>
    <col min="4884" max="5120" width="9.140625" style="1"/>
    <col min="5121" max="5121" width="17.5703125" style="1" customWidth="1"/>
    <col min="5122" max="5122" width="34.42578125" style="1" customWidth="1"/>
    <col min="5123" max="5123" width="37.42578125" style="1" customWidth="1"/>
    <col min="5124" max="5124" width="9.5703125" style="1" customWidth="1"/>
    <col min="5125" max="5125" width="9.42578125" style="1" customWidth="1"/>
    <col min="5126" max="5126" width="13.28515625" style="1" customWidth="1"/>
    <col min="5127" max="5127" width="9.140625" style="1"/>
    <col min="5128" max="5128" width="11.85546875" style="1" customWidth="1"/>
    <col min="5129" max="5129" width="11.42578125" style="1" customWidth="1"/>
    <col min="5130" max="5132" width="11" style="1" customWidth="1"/>
    <col min="5133" max="5133" width="13.28515625" style="1" customWidth="1"/>
    <col min="5134" max="5134" width="17" style="1" customWidth="1"/>
    <col min="5135" max="5138" width="11.42578125" style="1" customWidth="1"/>
    <col min="5139" max="5139" width="10.7109375" style="1" customWidth="1"/>
    <col min="5140" max="5376" width="9.140625" style="1"/>
    <col min="5377" max="5377" width="17.5703125" style="1" customWidth="1"/>
    <col min="5378" max="5378" width="34.42578125" style="1" customWidth="1"/>
    <col min="5379" max="5379" width="37.42578125" style="1" customWidth="1"/>
    <col min="5380" max="5380" width="9.5703125" style="1" customWidth="1"/>
    <col min="5381" max="5381" width="9.42578125" style="1" customWidth="1"/>
    <col min="5382" max="5382" width="13.28515625" style="1" customWidth="1"/>
    <col min="5383" max="5383" width="9.140625" style="1"/>
    <col min="5384" max="5384" width="11.85546875" style="1" customWidth="1"/>
    <col min="5385" max="5385" width="11.42578125" style="1" customWidth="1"/>
    <col min="5386" max="5388" width="11" style="1" customWidth="1"/>
    <col min="5389" max="5389" width="13.28515625" style="1" customWidth="1"/>
    <col min="5390" max="5390" width="17" style="1" customWidth="1"/>
    <col min="5391" max="5394" width="11.42578125" style="1" customWidth="1"/>
    <col min="5395" max="5395" width="10.7109375" style="1" customWidth="1"/>
    <col min="5396" max="5632" width="9.140625" style="1"/>
    <col min="5633" max="5633" width="17.5703125" style="1" customWidth="1"/>
    <col min="5634" max="5634" width="34.42578125" style="1" customWidth="1"/>
    <col min="5635" max="5635" width="37.42578125" style="1" customWidth="1"/>
    <col min="5636" max="5636" width="9.5703125" style="1" customWidth="1"/>
    <col min="5637" max="5637" width="9.42578125" style="1" customWidth="1"/>
    <col min="5638" max="5638" width="13.28515625" style="1" customWidth="1"/>
    <col min="5639" max="5639" width="9.140625" style="1"/>
    <col min="5640" max="5640" width="11.85546875" style="1" customWidth="1"/>
    <col min="5641" max="5641" width="11.42578125" style="1" customWidth="1"/>
    <col min="5642" max="5644" width="11" style="1" customWidth="1"/>
    <col min="5645" max="5645" width="13.28515625" style="1" customWidth="1"/>
    <col min="5646" max="5646" width="17" style="1" customWidth="1"/>
    <col min="5647" max="5650" width="11.42578125" style="1" customWidth="1"/>
    <col min="5651" max="5651" width="10.7109375" style="1" customWidth="1"/>
    <col min="5652" max="5888" width="9.140625" style="1"/>
    <col min="5889" max="5889" width="17.5703125" style="1" customWidth="1"/>
    <col min="5890" max="5890" width="34.42578125" style="1" customWidth="1"/>
    <col min="5891" max="5891" width="37.42578125" style="1" customWidth="1"/>
    <col min="5892" max="5892" width="9.5703125" style="1" customWidth="1"/>
    <col min="5893" max="5893" width="9.42578125" style="1" customWidth="1"/>
    <col min="5894" max="5894" width="13.28515625" style="1" customWidth="1"/>
    <col min="5895" max="5895" width="9.140625" style="1"/>
    <col min="5896" max="5896" width="11.85546875" style="1" customWidth="1"/>
    <col min="5897" max="5897" width="11.42578125" style="1" customWidth="1"/>
    <col min="5898" max="5900" width="11" style="1" customWidth="1"/>
    <col min="5901" max="5901" width="13.28515625" style="1" customWidth="1"/>
    <col min="5902" max="5902" width="17" style="1" customWidth="1"/>
    <col min="5903" max="5906" width="11.42578125" style="1" customWidth="1"/>
    <col min="5907" max="5907" width="10.7109375" style="1" customWidth="1"/>
    <col min="5908" max="6144" width="9.140625" style="1"/>
    <col min="6145" max="6145" width="17.5703125" style="1" customWidth="1"/>
    <col min="6146" max="6146" width="34.42578125" style="1" customWidth="1"/>
    <col min="6147" max="6147" width="37.42578125" style="1" customWidth="1"/>
    <col min="6148" max="6148" width="9.5703125" style="1" customWidth="1"/>
    <col min="6149" max="6149" width="9.42578125" style="1" customWidth="1"/>
    <col min="6150" max="6150" width="13.28515625" style="1" customWidth="1"/>
    <col min="6151" max="6151" width="9.140625" style="1"/>
    <col min="6152" max="6152" width="11.85546875" style="1" customWidth="1"/>
    <col min="6153" max="6153" width="11.42578125" style="1" customWidth="1"/>
    <col min="6154" max="6156" width="11" style="1" customWidth="1"/>
    <col min="6157" max="6157" width="13.28515625" style="1" customWidth="1"/>
    <col min="6158" max="6158" width="17" style="1" customWidth="1"/>
    <col min="6159" max="6162" width="11.42578125" style="1" customWidth="1"/>
    <col min="6163" max="6163" width="10.7109375" style="1" customWidth="1"/>
    <col min="6164" max="6400" width="9.140625" style="1"/>
    <col min="6401" max="6401" width="17.5703125" style="1" customWidth="1"/>
    <col min="6402" max="6402" width="34.42578125" style="1" customWidth="1"/>
    <col min="6403" max="6403" width="37.42578125" style="1" customWidth="1"/>
    <col min="6404" max="6404" width="9.5703125" style="1" customWidth="1"/>
    <col min="6405" max="6405" width="9.42578125" style="1" customWidth="1"/>
    <col min="6406" max="6406" width="13.28515625" style="1" customWidth="1"/>
    <col min="6407" max="6407" width="9.140625" style="1"/>
    <col min="6408" max="6408" width="11.85546875" style="1" customWidth="1"/>
    <col min="6409" max="6409" width="11.42578125" style="1" customWidth="1"/>
    <col min="6410" max="6412" width="11" style="1" customWidth="1"/>
    <col min="6413" max="6413" width="13.28515625" style="1" customWidth="1"/>
    <col min="6414" max="6414" width="17" style="1" customWidth="1"/>
    <col min="6415" max="6418" width="11.42578125" style="1" customWidth="1"/>
    <col min="6419" max="6419" width="10.7109375" style="1" customWidth="1"/>
    <col min="6420" max="6656" width="9.140625" style="1"/>
    <col min="6657" max="6657" width="17.5703125" style="1" customWidth="1"/>
    <col min="6658" max="6658" width="34.42578125" style="1" customWidth="1"/>
    <col min="6659" max="6659" width="37.42578125" style="1" customWidth="1"/>
    <col min="6660" max="6660" width="9.5703125" style="1" customWidth="1"/>
    <col min="6661" max="6661" width="9.42578125" style="1" customWidth="1"/>
    <col min="6662" max="6662" width="13.28515625" style="1" customWidth="1"/>
    <col min="6663" max="6663" width="9.140625" style="1"/>
    <col min="6664" max="6664" width="11.85546875" style="1" customWidth="1"/>
    <col min="6665" max="6665" width="11.42578125" style="1" customWidth="1"/>
    <col min="6666" max="6668" width="11" style="1" customWidth="1"/>
    <col min="6669" max="6669" width="13.28515625" style="1" customWidth="1"/>
    <col min="6670" max="6670" width="17" style="1" customWidth="1"/>
    <col min="6671" max="6674" width="11.42578125" style="1" customWidth="1"/>
    <col min="6675" max="6675" width="10.7109375" style="1" customWidth="1"/>
    <col min="6676" max="6912" width="9.140625" style="1"/>
    <col min="6913" max="6913" width="17.5703125" style="1" customWidth="1"/>
    <col min="6914" max="6914" width="34.42578125" style="1" customWidth="1"/>
    <col min="6915" max="6915" width="37.42578125" style="1" customWidth="1"/>
    <col min="6916" max="6916" width="9.5703125" style="1" customWidth="1"/>
    <col min="6917" max="6917" width="9.42578125" style="1" customWidth="1"/>
    <col min="6918" max="6918" width="13.28515625" style="1" customWidth="1"/>
    <col min="6919" max="6919" width="9.140625" style="1"/>
    <col min="6920" max="6920" width="11.85546875" style="1" customWidth="1"/>
    <col min="6921" max="6921" width="11.42578125" style="1" customWidth="1"/>
    <col min="6922" max="6924" width="11" style="1" customWidth="1"/>
    <col min="6925" max="6925" width="13.28515625" style="1" customWidth="1"/>
    <col min="6926" max="6926" width="17" style="1" customWidth="1"/>
    <col min="6927" max="6930" width="11.42578125" style="1" customWidth="1"/>
    <col min="6931" max="6931" width="10.7109375" style="1" customWidth="1"/>
    <col min="6932" max="7168" width="9.140625" style="1"/>
    <col min="7169" max="7169" width="17.5703125" style="1" customWidth="1"/>
    <col min="7170" max="7170" width="34.42578125" style="1" customWidth="1"/>
    <col min="7171" max="7171" width="37.42578125" style="1" customWidth="1"/>
    <col min="7172" max="7172" width="9.5703125" style="1" customWidth="1"/>
    <col min="7173" max="7173" width="9.42578125" style="1" customWidth="1"/>
    <col min="7174" max="7174" width="13.28515625" style="1" customWidth="1"/>
    <col min="7175" max="7175" width="9.140625" style="1"/>
    <col min="7176" max="7176" width="11.85546875" style="1" customWidth="1"/>
    <col min="7177" max="7177" width="11.42578125" style="1" customWidth="1"/>
    <col min="7178" max="7180" width="11" style="1" customWidth="1"/>
    <col min="7181" max="7181" width="13.28515625" style="1" customWidth="1"/>
    <col min="7182" max="7182" width="17" style="1" customWidth="1"/>
    <col min="7183" max="7186" width="11.42578125" style="1" customWidth="1"/>
    <col min="7187" max="7187" width="10.7109375" style="1" customWidth="1"/>
    <col min="7188" max="7424" width="9.140625" style="1"/>
    <col min="7425" max="7425" width="17.5703125" style="1" customWidth="1"/>
    <col min="7426" max="7426" width="34.42578125" style="1" customWidth="1"/>
    <col min="7427" max="7427" width="37.42578125" style="1" customWidth="1"/>
    <col min="7428" max="7428" width="9.5703125" style="1" customWidth="1"/>
    <col min="7429" max="7429" width="9.42578125" style="1" customWidth="1"/>
    <col min="7430" max="7430" width="13.28515625" style="1" customWidth="1"/>
    <col min="7431" max="7431" width="9.140625" style="1"/>
    <col min="7432" max="7432" width="11.85546875" style="1" customWidth="1"/>
    <col min="7433" max="7433" width="11.42578125" style="1" customWidth="1"/>
    <col min="7434" max="7436" width="11" style="1" customWidth="1"/>
    <col min="7437" max="7437" width="13.28515625" style="1" customWidth="1"/>
    <col min="7438" max="7438" width="17" style="1" customWidth="1"/>
    <col min="7439" max="7442" width="11.42578125" style="1" customWidth="1"/>
    <col min="7443" max="7443" width="10.7109375" style="1" customWidth="1"/>
    <col min="7444" max="7680" width="9.140625" style="1"/>
    <col min="7681" max="7681" width="17.5703125" style="1" customWidth="1"/>
    <col min="7682" max="7682" width="34.42578125" style="1" customWidth="1"/>
    <col min="7683" max="7683" width="37.42578125" style="1" customWidth="1"/>
    <col min="7684" max="7684" width="9.5703125" style="1" customWidth="1"/>
    <col min="7685" max="7685" width="9.42578125" style="1" customWidth="1"/>
    <col min="7686" max="7686" width="13.28515625" style="1" customWidth="1"/>
    <col min="7687" max="7687" width="9.140625" style="1"/>
    <col min="7688" max="7688" width="11.85546875" style="1" customWidth="1"/>
    <col min="7689" max="7689" width="11.42578125" style="1" customWidth="1"/>
    <col min="7690" max="7692" width="11" style="1" customWidth="1"/>
    <col min="7693" max="7693" width="13.28515625" style="1" customWidth="1"/>
    <col min="7694" max="7694" width="17" style="1" customWidth="1"/>
    <col min="7695" max="7698" width="11.42578125" style="1" customWidth="1"/>
    <col min="7699" max="7699" width="10.7109375" style="1" customWidth="1"/>
    <col min="7700" max="7936" width="9.140625" style="1"/>
    <col min="7937" max="7937" width="17.5703125" style="1" customWidth="1"/>
    <col min="7938" max="7938" width="34.42578125" style="1" customWidth="1"/>
    <col min="7939" max="7939" width="37.42578125" style="1" customWidth="1"/>
    <col min="7940" max="7940" width="9.5703125" style="1" customWidth="1"/>
    <col min="7941" max="7941" width="9.42578125" style="1" customWidth="1"/>
    <col min="7942" max="7942" width="13.28515625" style="1" customWidth="1"/>
    <col min="7943" max="7943" width="9.140625" style="1"/>
    <col min="7944" max="7944" width="11.85546875" style="1" customWidth="1"/>
    <col min="7945" max="7945" width="11.42578125" style="1" customWidth="1"/>
    <col min="7946" max="7948" width="11" style="1" customWidth="1"/>
    <col min="7949" max="7949" width="13.28515625" style="1" customWidth="1"/>
    <col min="7950" max="7950" width="17" style="1" customWidth="1"/>
    <col min="7951" max="7954" width="11.42578125" style="1" customWidth="1"/>
    <col min="7955" max="7955" width="10.7109375" style="1" customWidth="1"/>
    <col min="7956" max="8192" width="9.140625" style="1"/>
    <col min="8193" max="8193" width="17.5703125" style="1" customWidth="1"/>
    <col min="8194" max="8194" width="34.42578125" style="1" customWidth="1"/>
    <col min="8195" max="8195" width="37.42578125" style="1" customWidth="1"/>
    <col min="8196" max="8196" width="9.5703125" style="1" customWidth="1"/>
    <col min="8197" max="8197" width="9.42578125" style="1" customWidth="1"/>
    <col min="8198" max="8198" width="13.28515625" style="1" customWidth="1"/>
    <col min="8199" max="8199" width="9.140625" style="1"/>
    <col min="8200" max="8200" width="11.85546875" style="1" customWidth="1"/>
    <col min="8201" max="8201" width="11.42578125" style="1" customWidth="1"/>
    <col min="8202" max="8204" width="11" style="1" customWidth="1"/>
    <col min="8205" max="8205" width="13.28515625" style="1" customWidth="1"/>
    <col min="8206" max="8206" width="17" style="1" customWidth="1"/>
    <col min="8207" max="8210" width="11.42578125" style="1" customWidth="1"/>
    <col min="8211" max="8211" width="10.7109375" style="1" customWidth="1"/>
    <col min="8212" max="8448" width="9.140625" style="1"/>
    <col min="8449" max="8449" width="17.5703125" style="1" customWidth="1"/>
    <col min="8450" max="8450" width="34.42578125" style="1" customWidth="1"/>
    <col min="8451" max="8451" width="37.42578125" style="1" customWidth="1"/>
    <col min="8452" max="8452" width="9.5703125" style="1" customWidth="1"/>
    <col min="8453" max="8453" width="9.42578125" style="1" customWidth="1"/>
    <col min="8454" max="8454" width="13.28515625" style="1" customWidth="1"/>
    <col min="8455" max="8455" width="9.140625" style="1"/>
    <col min="8456" max="8456" width="11.85546875" style="1" customWidth="1"/>
    <col min="8457" max="8457" width="11.42578125" style="1" customWidth="1"/>
    <col min="8458" max="8460" width="11" style="1" customWidth="1"/>
    <col min="8461" max="8461" width="13.28515625" style="1" customWidth="1"/>
    <col min="8462" max="8462" width="17" style="1" customWidth="1"/>
    <col min="8463" max="8466" width="11.42578125" style="1" customWidth="1"/>
    <col min="8467" max="8467" width="10.7109375" style="1" customWidth="1"/>
    <col min="8468" max="8704" width="9.140625" style="1"/>
    <col min="8705" max="8705" width="17.5703125" style="1" customWidth="1"/>
    <col min="8706" max="8706" width="34.42578125" style="1" customWidth="1"/>
    <col min="8707" max="8707" width="37.42578125" style="1" customWidth="1"/>
    <col min="8708" max="8708" width="9.5703125" style="1" customWidth="1"/>
    <col min="8709" max="8709" width="9.42578125" style="1" customWidth="1"/>
    <col min="8710" max="8710" width="13.28515625" style="1" customWidth="1"/>
    <col min="8711" max="8711" width="9.140625" style="1"/>
    <col min="8712" max="8712" width="11.85546875" style="1" customWidth="1"/>
    <col min="8713" max="8713" width="11.42578125" style="1" customWidth="1"/>
    <col min="8714" max="8716" width="11" style="1" customWidth="1"/>
    <col min="8717" max="8717" width="13.28515625" style="1" customWidth="1"/>
    <col min="8718" max="8718" width="17" style="1" customWidth="1"/>
    <col min="8719" max="8722" width="11.42578125" style="1" customWidth="1"/>
    <col min="8723" max="8723" width="10.7109375" style="1" customWidth="1"/>
    <col min="8724" max="8960" width="9.140625" style="1"/>
    <col min="8961" max="8961" width="17.5703125" style="1" customWidth="1"/>
    <col min="8962" max="8962" width="34.42578125" style="1" customWidth="1"/>
    <col min="8963" max="8963" width="37.42578125" style="1" customWidth="1"/>
    <col min="8964" max="8964" width="9.5703125" style="1" customWidth="1"/>
    <col min="8965" max="8965" width="9.42578125" style="1" customWidth="1"/>
    <col min="8966" max="8966" width="13.28515625" style="1" customWidth="1"/>
    <col min="8967" max="8967" width="9.140625" style="1"/>
    <col min="8968" max="8968" width="11.85546875" style="1" customWidth="1"/>
    <col min="8969" max="8969" width="11.42578125" style="1" customWidth="1"/>
    <col min="8970" max="8972" width="11" style="1" customWidth="1"/>
    <col min="8973" max="8973" width="13.28515625" style="1" customWidth="1"/>
    <col min="8974" max="8974" width="17" style="1" customWidth="1"/>
    <col min="8975" max="8978" width="11.42578125" style="1" customWidth="1"/>
    <col min="8979" max="8979" width="10.7109375" style="1" customWidth="1"/>
    <col min="8980" max="9216" width="9.140625" style="1"/>
    <col min="9217" max="9217" width="17.5703125" style="1" customWidth="1"/>
    <col min="9218" max="9218" width="34.42578125" style="1" customWidth="1"/>
    <col min="9219" max="9219" width="37.42578125" style="1" customWidth="1"/>
    <col min="9220" max="9220" width="9.5703125" style="1" customWidth="1"/>
    <col min="9221" max="9221" width="9.42578125" style="1" customWidth="1"/>
    <col min="9222" max="9222" width="13.28515625" style="1" customWidth="1"/>
    <col min="9223" max="9223" width="9.140625" style="1"/>
    <col min="9224" max="9224" width="11.85546875" style="1" customWidth="1"/>
    <col min="9225" max="9225" width="11.42578125" style="1" customWidth="1"/>
    <col min="9226" max="9228" width="11" style="1" customWidth="1"/>
    <col min="9229" max="9229" width="13.28515625" style="1" customWidth="1"/>
    <col min="9230" max="9230" width="17" style="1" customWidth="1"/>
    <col min="9231" max="9234" width="11.42578125" style="1" customWidth="1"/>
    <col min="9235" max="9235" width="10.7109375" style="1" customWidth="1"/>
    <col min="9236" max="9472" width="9.140625" style="1"/>
    <col min="9473" max="9473" width="17.5703125" style="1" customWidth="1"/>
    <col min="9474" max="9474" width="34.42578125" style="1" customWidth="1"/>
    <col min="9475" max="9475" width="37.42578125" style="1" customWidth="1"/>
    <col min="9476" max="9476" width="9.5703125" style="1" customWidth="1"/>
    <col min="9477" max="9477" width="9.42578125" style="1" customWidth="1"/>
    <col min="9478" max="9478" width="13.28515625" style="1" customWidth="1"/>
    <col min="9479" max="9479" width="9.140625" style="1"/>
    <col min="9480" max="9480" width="11.85546875" style="1" customWidth="1"/>
    <col min="9481" max="9481" width="11.42578125" style="1" customWidth="1"/>
    <col min="9482" max="9484" width="11" style="1" customWidth="1"/>
    <col min="9485" max="9485" width="13.28515625" style="1" customWidth="1"/>
    <col min="9486" max="9486" width="17" style="1" customWidth="1"/>
    <col min="9487" max="9490" width="11.42578125" style="1" customWidth="1"/>
    <col min="9491" max="9491" width="10.7109375" style="1" customWidth="1"/>
    <col min="9492" max="9728" width="9.140625" style="1"/>
    <col min="9729" max="9729" width="17.5703125" style="1" customWidth="1"/>
    <col min="9730" max="9730" width="34.42578125" style="1" customWidth="1"/>
    <col min="9731" max="9731" width="37.42578125" style="1" customWidth="1"/>
    <col min="9732" max="9732" width="9.5703125" style="1" customWidth="1"/>
    <col min="9733" max="9733" width="9.42578125" style="1" customWidth="1"/>
    <col min="9734" max="9734" width="13.28515625" style="1" customWidth="1"/>
    <col min="9735" max="9735" width="9.140625" style="1"/>
    <col min="9736" max="9736" width="11.85546875" style="1" customWidth="1"/>
    <col min="9737" max="9737" width="11.42578125" style="1" customWidth="1"/>
    <col min="9738" max="9740" width="11" style="1" customWidth="1"/>
    <col min="9741" max="9741" width="13.28515625" style="1" customWidth="1"/>
    <col min="9742" max="9742" width="17" style="1" customWidth="1"/>
    <col min="9743" max="9746" width="11.42578125" style="1" customWidth="1"/>
    <col min="9747" max="9747" width="10.7109375" style="1" customWidth="1"/>
    <col min="9748" max="9984" width="9.140625" style="1"/>
    <col min="9985" max="9985" width="17.5703125" style="1" customWidth="1"/>
    <col min="9986" max="9986" width="34.42578125" style="1" customWidth="1"/>
    <col min="9987" max="9987" width="37.42578125" style="1" customWidth="1"/>
    <col min="9988" max="9988" width="9.5703125" style="1" customWidth="1"/>
    <col min="9989" max="9989" width="9.42578125" style="1" customWidth="1"/>
    <col min="9990" max="9990" width="13.28515625" style="1" customWidth="1"/>
    <col min="9991" max="9991" width="9.140625" style="1"/>
    <col min="9992" max="9992" width="11.85546875" style="1" customWidth="1"/>
    <col min="9993" max="9993" width="11.42578125" style="1" customWidth="1"/>
    <col min="9994" max="9996" width="11" style="1" customWidth="1"/>
    <col min="9997" max="9997" width="13.28515625" style="1" customWidth="1"/>
    <col min="9998" max="9998" width="17" style="1" customWidth="1"/>
    <col min="9999" max="10002" width="11.42578125" style="1" customWidth="1"/>
    <col min="10003" max="10003" width="10.7109375" style="1" customWidth="1"/>
    <col min="10004" max="10240" width="9.140625" style="1"/>
    <col min="10241" max="10241" width="17.5703125" style="1" customWidth="1"/>
    <col min="10242" max="10242" width="34.42578125" style="1" customWidth="1"/>
    <col min="10243" max="10243" width="37.42578125" style="1" customWidth="1"/>
    <col min="10244" max="10244" width="9.5703125" style="1" customWidth="1"/>
    <col min="10245" max="10245" width="9.42578125" style="1" customWidth="1"/>
    <col min="10246" max="10246" width="13.28515625" style="1" customWidth="1"/>
    <col min="10247" max="10247" width="9.140625" style="1"/>
    <col min="10248" max="10248" width="11.85546875" style="1" customWidth="1"/>
    <col min="10249" max="10249" width="11.42578125" style="1" customWidth="1"/>
    <col min="10250" max="10252" width="11" style="1" customWidth="1"/>
    <col min="10253" max="10253" width="13.28515625" style="1" customWidth="1"/>
    <col min="10254" max="10254" width="17" style="1" customWidth="1"/>
    <col min="10255" max="10258" width="11.42578125" style="1" customWidth="1"/>
    <col min="10259" max="10259" width="10.7109375" style="1" customWidth="1"/>
    <col min="10260" max="10496" width="9.140625" style="1"/>
    <col min="10497" max="10497" width="17.5703125" style="1" customWidth="1"/>
    <col min="10498" max="10498" width="34.42578125" style="1" customWidth="1"/>
    <col min="10499" max="10499" width="37.42578125" style="1" customWidth="1"/>
    <col min="10500" max="10500" width="9.5703125" style="1" customWidth="1"/>
    <col min="10501" max="10501" width="9.42578125" style="1" customWidth="1"/>
    <col min="10502" max="10502" width="13.28515625" style="1" customWidth="1"/>
    <col min="10503" max="10503" width="9.140625" style="1"/>
    <col min="10504" max="10504" width="11.85546875" style="1" customWidth="1"/>
    <col min="10505" max="10505" width="11.42578125" style="1" customWidth="1"/>
    <col min="10506" max="10508" width="11" style="1" customWidth="1"/>
    <col min="10509" max="10509" width="13.28515625" style="1" customWidth="1"/>
    <col min="10510" max="10510" width="17" style="1" customWidth="1"/>
    <col min="10511" max="10514" width="11.42578125" style="1" customWidth="1"/>
    <col min="10515" max="10515" width="10.7109375" style="1" customWidth="1"/>
    <col min="10516" max="10752" width="9.140625" style="1"/>
    <col min="10753" max="10753" width="17.5703125" style="1" customWidth="1"/>
    <col min="10754" max="10754" width="34.42578125" style="1" customWidth="1"/>
    <col min="10755" max="10755" width="37.42578125" style="1" customWidth="1"/>
    <col min="10756" max="10756" width="9.5703125" style="1" customWidth="1"/>
    <col min="10757" max="10757" width="9.42578125" style="1" customWidth="1"/>
    <col min="10758" max="10758" width="13.28515625" style="1" customWidth="1"/>
    <col min="10759" max="10759" width="9.140625" style="1"/>
    <col min="10760" max="10760" width="11.85546875" style="1" customWidth="1"/>
    <col min="10761" max="10761" width="11.42578125" style="1" customWidth="1"/>
    <col min="10762" max="10764" width="11" style="1" customWidth="1"/>
    <col min="10765" max="10765" width="13.28515625" style="1" customWidth="1"/>
    <col min="10766" max="10766" width="17" style="1" customWidth="1"/>
    <col min="10767" max="10770" width="11.42578125" style="1" customWidth="1"/>
    <col min="10771" max="10771" width="10.7109375" style="1" customWidth="1"/>
    <col min="10772" max="11008" width="9.140625" style="1"/>
    <col min="11009" max="11009" width="17.5703125" style="1" customWidth="1"/>
    <col min="11010" max="11010" width="34.42578125" style="1" customWidth="1"/>
    <col min="11011" max="11011" width="37.42578125" style="1" customWidth="1"/>
    <col min="11012" max="11012" width="9.5703125" style="1" customWidth="1"/>
    <col min="11013" max="11013" width="9.42578125" style="1" customWidth="1"/>
    <col min="11014" max="11014" width="13.28515625" style="1" customWidth="1"/>
    <col min="11015" max="11015" width="9.140625" style="1"/>
    <col min="11016" max="11016" width="11.85546875" style="1" customWidth="1"/>
    <col min="11017" max="11017" width="11.42578125" style="1" customWidth="1"/>
    <col min="11018" max="11020" width="11" style="1" customWidth="1"/>
    <col min="11021" max="11021" width="13.28515625" style="1" customWidth="1"/>
    <col min="11022" max="11022" width="17" style="1" customWidth="1"/>
    <col min="11023" max="11026" width="11.42578125" style="1" customWidth="1"/>
    <col min="11027" max="11027" width="10.7109375" style="1" customWidth="1"/>
    <col min="11028" max="11264" width="9.140625" style="1"/>
    <col min="11265" max="11265" width="17.5703125" style="1" customWidth="1"/>
    <col min="11266" max="11266" width="34.42578125" style="1" customWidth="1"/>
    <col min="11267" max="11267" width="37.42578125" style="1" customWidth="1"/>
    <col min="11268" max="11268" width="9.5703125" style="1" customWidth="1"/>
    <col min="11269" max="11269" width="9.42578125" style="1" customWidth="1"/>
    <col min="11270" max="11270" width="13.28515625" style="1" customWidth="1"/>
    <col min="11271" max="11271" width="9.140625" style="1"/>
    <col min="11272" max="11272" width="11.85546875" style="1" customWidth="1"/>
    <col min="11273" max="11273" width="11.42578125" style="1" customWidth="1"/>
    <col min="11274" max="11276" width="11" style="1" customWidth="1"/>
    <col min="11277" max="11277" width="13.28515625" style="1" customWidth="1"/>
    <col min="11278" max="11278" width="17" style="1" customWidth="1"/>
    <col min="11279" max="11282" width="11.42578125" style="1" customWidth="1"/>
    <col min="11283" max="11283" width="10.7109375" style="1" customWidth="1"/>
    <col min="11284" max="11520" width="9.140625" style="1"/>
    <col min="11521" max="11521" width="17.5703125" style="1" customWidth="1"/>
    <col min="11522" max="11522" width="34.42578125" style="1" customWidth="1"/>
    <col min="11523" max="11523" width="37.42578125" style="1" customWidth="1"/>
    <col min="11524" max="11524" width="9.5703125" style="1" customWidth="1"/>
    <col min="11525" max="11525" width="9.42578125" style="1" customWidth="1"/>
    <col min="11526" max="11526" width="13.28515625" style="1" customWidth="1"/>
    <col min="11527" max="11527" width="9.140625" style="1"/>
    <col min="11528" max="11528" width="11.85546875" style="1" customWidth="1"/>
    <col min="11529" max="11529" width="11.42578125" style="1" customWidth="1"/>
    <col min="11530" max="11532" width="11" style="1" customWidth="1"/>
    <col min="11533" max="11533" width="13.28515625" style="1" customWidth="1"/>
    <col min="11534" max="11534" width="17" style="1" customWidth="1"/>
    <col min="11535" max="11538" width="11.42578125" style="1" customWidth="1"/>
    <col min="11539" max="11539" width="10.7109375" style="1" customWidth="1"/>
    <col min="11540" max="11776" width="9.140625" style="1"/>
    <col min="11777" max="11777" width="17.5703125" style="1" customWidth="1"/>
    <col min="11778" max="11778" width="34.42578125" style="1" customWidth="1"/>
    <col min="11779" max="11779" width="37.42578125" style="1" customWidth="1"/>
    <col min="11780" max="11780" width="9.5703125" style="1" customWidth="1"/>
    <col min="11781" max="11781" width="9.42578125" style="1" customWidth="1"/>
    <col min="11782" max="11782" width="13.28515625" style="1" customWidth="1"/>
    <col min="11783" max="11783" width="9.140625" style="1"/>
    <col min="11784" max="11784" width="11.85546875" style="1" customWidth="1"/>
    <col min="11785" max="11785" width="11.42578125" style="1" customWidth="1"/>
    <col min="11786" max="11788" width="11" style="1" customWidth="1"/>
    <col min="11789" max="11789" width="13.28515625" style="1" customWidth="1"/>
    <col min="11790" max="11790" width="17" style="1" customWidth="1"/>
    <col min="11791" max="11794" width="11.42578125" style="1" customWidth="1"/>
    <col min="11795" max="11795" width="10.7109375" style="1" customWidth="1"/>
    <col min="11796" max="12032" width="9.140625" style="1"/>
    <col min="12033" max="12033" width="17.5703125" style="1" customWidth="1"/>
    <col min="12034" max="12034" width="34.42578125" style="1" customWidth="1"/>
    <col min="12035" max="12035" width="37.42578125" style="1" customWidth="1"/>
    <col min="12036" max="12036" width="9.5703125" style="1" customWidth="1"/>
    <col min="12037" max="12037" width="9.42578125" style="1" customWidth="1"/>
    <col min="12038" max="12038" width="13.28515625" style="1" customWidth="1"/>
    <col min="12039" max="12039" width="9.140625" style="1"/>
    <col min="12040" max="12040" width="11.85546875" style="1" customWidth="1"/>
    <col min="12041" max="12041" width="11.42578125" style="1" customWidth="1"/>
    <col min="12042" max="12044" width="11" style="1" customWidth="1"/>
    <col min="12045" max="12045" width="13.28515625" style="1" customWidth="1"/>
    <col min="12046" max="12046" width="17" style="1" customWidth="1"/>
    <col min="12047" max="12050" width="11.42578125" style="1" customWidth="1"/>
    <col min="12051" max="12051" width="10.7109375" style="1" customWidth="1"/>
    <col min="12052" max="12288" width="9.140625" style="1"/>
    <col min="12289" max="12289" width="17.5703125" style="1" customWidth="1"/>
    <col min="12290" max="12290" width="34.42578125" style="1" customWidth="1"/>
    <col min="12291" max="12291" width="37.42578125" style="1" customWidth="1"/>
    <col min="12292" max="12292" width="9.5703125" style="1" customWidth="1"/>
    <col min="12293" max="12293" width="9.42578125" style="1" customWidth="1"/>
    <col min="12294" max="12294" width="13.28515625" style="1" customWidth="1"/>
    <col min="12295" max="12295" width="9.140625" style="1"/>
    <col min="12296" max="12296" width="11.85546875" style="1" customWidth="1"/>
    <col min="12297" max="12297" width="11.42578125" style="1" customWidth="1"/>
    <col min="12298" max="12300" width="11" style="1" customWidth="1"/>
    <col min="12301" max="12301" width="13.28515625" style="1" customWidth="1"/>
    <col min="12302" max="12302" width="17" style="1" customWidth="1"/>
    <col min="12303" max="12306" width="11.42578125" style="1" customWidth="1"/>
    <col min="12307" max="12307" width="10.7109375" style="1" customWidth="1"/>
    <col min="12308" max="12544" width="9.140625" style="1"/>
    <col min="12545" max="12545" width="17.5703125" style="1" customWidth="1"/>
    <col min="12546" max="12546" width="34.42578125" style="1" customWidth="1"/>
    <col min="12547" max="12547" width="37.42578125" style="1" customWidth="1"/>
    <col min="12548" max="12548" width="9.5703125" style="1" customWidth="1"/>
    <col min="12549" max="12549" width="9.42578125" style="1" customWidth="1"/>
    <col min="12550" max="12550" width="13.28515625" style="1" customWidth="1"/>
    <col min="12551" max="12551" width="9.140625" style="1"/>
    <col min="12552" max="12552" width="11.85546875" style="1" customWidth="1"/>
    <col min="12553" max="12553" width="11.42578125" style="1" customWidth="1"/>
    <col min="12554" max="12556" width="11" style="1" customWidth="1"/>
    <col min="12557" max="12557" width="13.28515625" style="1" customWidth="1"/>
    <col min="12558" max="12558" width="17" style="1" customWidth="1"/>
    <col min="12559" max="12562" width="11.42578125" style="1" customWidth="1"/>
    <col min="12563" max="12563" width="10.7109375" style="1" customWidth="1"/>
    <col min="12564" max="12800" width="9.140625" style="1"/>
    <col min="12801" max="12801" width="17.5703125" style="1" customWidth="1"/>
    <col min="12802" max="12802" width="34.42578125" style="1" customWidth="1"/>
    <col min="12803" max="12803" width="37.42578125" style="1" customWidth="1"/>
    <col min="12804" max="12804" width="9.5703125" style="1" customWidth="1"/>
    <col min="12805" max="12805" width="9.42578125" style="1" customWidth="1"/>
    <col min="12806" max="12806" width="13.28515625" style="1" customWidth="1"/>
    <col min="12807" max="12807" width="9.140625" style="1"/>
    <col min="12808" max="12808" width="11.85546875" style="1" customWidth="1"/>
    <col min="12809" max="12809" width="11.42578125" style="1" customWidth="1"/>
    <col min="12810" max="12812" width="11" style="1" customWidth="1"/>
    <col min="12813" max="12813" width="13.28515625" style="1" customWidth="1"/>
    <col min="12814" max="12814" width="17" style="1" customWidth="1"/>
    <col min="12815" max="12818" width="11.42578125" style="1" customWidth="1"/>
    <col min="12819" max="12819" width="10.7109375" style="1" customWidth="1"/>
    <col min="12820" max="13056" width="9.140625" style="1"/>
    <col min="13057" max="13057" width="17.5703125" style="1" customWidth="1"/>
    <col min="13058" max="13058" width="34.42578125" style="1" customWidth="1"/>
    <col min="13059" max="13059" width="37.42578125" style="1" customWidth="1"/>
    <col min="13060" max="13060" width="9.5703125" style="1" customWidth="1"/>
    <col min="13061" max="13061" width="9.42578125" style="1" customWidth="1"/>
    <col min="13062" max="13062" width="13.28515625" style="1" customWidth="1"/>
    <col min="13063" max="13063" width="9.140625" style="1"/>
    <col min="13064" max="13064" width="11.85546875" style="1" customWidth="1"/>
    <col min="13065" max="13065" width="11.42578125" style="1" customWidth="1"/>
    <col min="13066" max="13068" width="11" style="1" customWidth="1"/>
    <col min="13069" max="13069" width="13.28515625" style="1" customWidth="1"/>
    <col min="13070" max="13070" width="17" style="1" customWidth="1"/>
    <col min="13071" max="13074" width="11.42578125" style="1" customWidth="1"/>
    <col min="13075" max="13075" width="10.7109375" style="1" customWidth="1"/>
    <col min="13076" max="13312" width="9.140625" style="1"/>
    <col min="13313" max="13313" width="17.5703125" style="1" customWidth="1"/>
    <col min="13314" max="13314" width="34.42578125" style="1" customWidth="1"/>
    <col min="13315" max="13315" width="37.42578125" style="1" customWidth="1"/>
    <col min="13316" max="13316" width="9.5703125" style="1" customWidth="1"/>
    <col min="13317" max="13317" width="9.42578125" style="1" customWidth="1"/>
    <col min="13318" max="13318" width="13.28515625" style="1" customWidth="1"/>
    <col min="13319" max="13319" width="9.140625" style="1"/>
    <col min="13320" max="13320" width="11.85546875" style="1" customWidth="1"/>
    <col min="13321" max="13321" width="11.42578125" style="1" customWidth="1"/>
    <col min="13322" max="13324" width="11" style="1" customWidth="1"/>
    <col min="13325" max="13325" width="13.28515625" style="1" customWidth="1"/>
    <col min="13326" max="13326" width="17" style="1" customWidth="1"/>
    <col min="13327" max="13330" width="11.42578125" style="1" customWidth="1"/>
    <col min="13331" max="13331" width="10.7109375" style="1" customWidth="1"/>
    <col min="13332" max="13568" width="9.140625" style="1"/>
    <col min="13569" max="13569" width="17.5703125" style="1" customWidth="1"/>
    <col min="13570" max="13570" width="34.42578125" style="1" customWidth="1"/>
    <col min="13571" max="13571" width="37.42578125" style="1" customWidth="1"/>
    <col min="13572" max="13572" width="9.5703125" style="1" customWidth="1"/>
    <col min="13573" max="13573" width="9.42578125" style="1" customWidth="1"/>
    <col min="13574" max="13574" width="13.28515625" style="1" customWidth="1"/>
    <col min="13575" max="13575" width="9.140625" style="1"/>
    <col min="13576" max="13576" width="11.85546875" style="1" customWidth="1"/>
    <col min="13577" max="13577" width="11.42578125" style="1" customWidth="1"/>
    <col min="13578" max="13580" width="11" style="1" customWidth="1"/>
    <col min="13581" max="13581" width="13.28515625" style="1" customWidth="1"/>
    <col min="13582" max="13582" width="17" style="1" customWidth="1"/>
    <col min="13583" max="13586" width="11.42578125" style="1" customWidth="1"/>
    <col min="13587" max="13587" width="10.7109375" style="1" customWidth="1"/>
    <col min="13588" max="13824" width="9.140625" style="1"/>
    <col min="13825" max="13825" width="17.5703125" style="1" customWidth="1"/>
    <col min="13826" max="13826" width="34.42578125" style="1" customWidth="1"/>
    <col min="13827" max="13827" width="37.42578125" style="1" customWidth="1"/>
    <col min="13828" max="13828" width="9.5703125" style="1" customWidth="1"/>
    <col min="13829" max="13829" width="9.42578125" style="1" customWidth="1"/>
    <col min="13830" max="13830" width="13.28515625" style="1" customWidth="1"/>
    <col min="13831" max="13831" width="9.140625" style="1"/>
    <col min="13832" max="13832" width="11.85546875" style="1" customWidth="1"/>
    <col min="13833" max="13833" width="11.42578125" style="1" customWidth="1"/>
    <col min="13834" max="13836" width="11" style="1" customWidth="1"/>
    <col min="13837" max="13837" width="13.28515625" style="1" customWidth="1"/>
    <col min="13838" max="13838" width="17" style="1" customWidth="1"/>
    <col min="13839" max="13842" width="11.42578125" style="1" customWidth="1"/>
    <col min="13843" max="13843" width="10.7109375" style="1" customWidth="1"/>
    <col min="13844" max="14080" width="9.140625" style="1"/>
    <col min="14081" max="14081" width="17.5703125" style="1" customWidth="1"/>
    <col min="14082" max="14082" width="34.42578125" style="1" customWidth="1"/>
    <col min="14083" max="14083" width="37.42578125" style="1" customWidth="1"/>
    <col min="14084" max="14084" width="9.5703125" style="1" customWidth="1"/>
    <col min="14085" max="14085" width="9.42578125" style="1" customWidth="1"/>
    <col min="14086" max="14086" width="13.28515625" style="1" customWidth="1"/>
    <col min="14087" max="14087" width="9.140625" style="1"/>
    <col min="14088" max="14088" width="11.85546875" style="1" customWidth="1"/>
    <col min="14089" max="14089" width="11.42578125" style="1" customWidth="1"/>
    <col min="14090" max="14092" width="11" style="1" customWidth="1"/>
    <col min="14093" max="14093" width="13.28515625" style="1" customWidth="1"/>
    <col min="14094" max="14094" width="17" style="1" customWidth="1"/>
    <col min="14095" max="14098" width="11.42578125" style="1" customWidth="1"/>
    <col min="14099" max="14099" width="10.7109375" style="1" customWidth="1"/>
    <col min="14100" max="14336" width="9.140625" style="1"/>
    <col min="14337" max="14337" width="17.5703125" style="1" customWidth="1"/>
    <col min="14338" max="14338" width="34.42578125" style="1" customWidth="1"/>
    <col min="14339" max="14339" width="37.42578125" style="1" customWidth="1"/>
    <col min="14340" max="14340" width="9.5703125" style="1" customWidth="1"/>
    <col min="14341" max="14341" width="9.42578125" style="1" customWidth="1"/>
    <col min="14342" max="14342" width="13.28515625" style="1" customWidth="1"/>
    <col min="14343" max="14343" width="9.140625" style="1"/>
    <col min="14344" max="14344" width="11.85546875" style="1" customWidth="1"/>
    <col min="14345" max="14345" width="11.42578125" style="1" customWidth="1"/>
    <col min="14346" max="14348" width="11" style="1" customWidth="1"/>
    <col min="14349" max="14349" width="13.28515625" style="1" customWidth="1"/>
    <col min="14350" max="14350" width="17" style="1" customWidth="1"/>
    <col min="14351" max="14354" width="11.42578125" style="1" customWidth="1"/>
    <col min="14355" max="14355" width="10.7109375" style="1" customWidth="1"/>
    <col min="14356" max="14592" width="9.140625" style="1"/>
    <col min="14593" max="14593" width="17.5703125" style="1" customWidth="1"/>
    <col min="14594" max="14594" width="34.42578125" style="1" customWidth="1"/>
    <col min="14595" max="14595" width="37.42578125" style="1" customWidth="1"/>
    <col min="14596" max="14596" width="9.5703125" style="1" customWidth="1"/>
    <col min="14597" max="14597" width="9.42578125" style="1" customWidth="1"/>
    <col min="14598" max="14598" width="13.28515625" style="1" customWidth="1"/>
    <col min="14599" max="14599" width="9.140625" style="1"/>
    <col min="14600" max="14600" width="11.85546875" style="1" customWidth="1"/>
    <col min="14601" max="14601" width="11.42578125" style="1" customWidth="1"/>
    <col min="14602" max="14604" width="11" style="1" customWidth="1"/>
    <col min="14605" max="14605" width="13.28515625" style="1" customWidth="1"/>
    <col min="14606" max="14606" width="17" style="1" customWidth="1"/>
    <col min="14607" max="14610" width="11.42578125" style="1" customWidth="1"/>
    <col min="14611" max="14611" width="10.7109375" style="1" customWidth="1"/>
    <col min="14612" max="14848" width="9.140625" style="1"/>
    <col min="14849" max="14849" width="17.5703125" style="1" customWidth="1"/>
    <col min="14850" max="14850" width="34.42578125" style="1" customWidth="1"/>
    <col min="14851" max="14851" width="37.42578125" style="1" customWidth="1"/>
    <col min="14852" max="14852" width="9.5703125" style="1" customWidth="1"/>
    <col min="14853" max="14853" width="9.42578125" style="1" customWidth="1"/>
    <col min="14854" max="14854" width="13.28515625" style="1" customWidth="1"/>
    <col min="14855" max="14855" width="9.140625" style="1"/>
    <col min="14856" max="14856" width="11.85546875" style="1" customWidth="1"/>
    <col min="14857" max="14857" width="11.42578125" style="1" customWidth="1"/>
    <col min="14858" max="14860" width="11" style="1" customWidth="1"/>
    <col min="14861" max="14861" width="13.28515625" style="1" customWidth="1"/>
    <col min="14862" max="14862" width="17" style="1" customWidth="1"/>
    <col min="14863" max="14866" width="11.42578125" style="1" customWidth="1"/>
    <col min="14867" max="14867" width="10.7109375" style="1" customWidth="1"/>
    <col min="14868" max="15104" width="9.140625" style="1"/>
    <col min="15105" max="15105" width="17.5703125" style="1" customWidth="1"/>
    <col min="15106" max="15106" width="34.42578125" style="1" customWidth="1"/>
    <col min="15107" max="15107" width="37.42578125" style="1" customWidth="1"/>
    <col min="15108" max="15108" width="9.5703125" style="1" customWidth="1"/>
    <col min="15109" max="15109" width="9.42578125" style="1" customWidth="1"/>
    <col min="15110" max="15110" width="13.28515625" style="1" customWidth="1"/>
    <col min="15111" max="15111" width="9.140625" style="1"/>
    <col min="15112" max="15112" width="11.85546875" style="1" customWidth="1"/>
    <col min="15113" max="15113" width="11.42578125" style="1" customWidth="1"/>
    <col min="15114" max="15116" width="11" style="1" customWidth="1"/>
    <col min="15117" max="15117" width="13.28515625" style="1" customWidth="1"/>
    <col min="15118" max="15118" width="17" style="1" customWidth="1"/>
    <col min="15119" max="15122" width="11.42578125" style="1" customWidth="1"/>
    <col min="15123" max="15123" width="10.7109375" style="1" customWidth="1"/>
    <col min="15124" max="15360" width="9.140625" style="1"/>
    <col min="15361" max="15361" width="17.5703125" style="1" customWidth="1"/>
    <col min="15362" max="15362" width="34.42578125" style="1" customWidth="1"/>
    <col min="15363" max="15363" width="37.42578125" style="1" customWidth="1"/>
    <col min="15364" max="15364" width="9.5703125" style="1" customWidth="1"/>
    <col min="15365" max="15365" width="9.42578125" style="1" customWidth="1"/>
    <col min="15366" max="15366" width="13.28515625" style="1" customWidth="1"/>
    <col min="15367" max="15367" width="9.140625" style="1"/>
    <col min="15368" max="15368" width="11.85546875" style="1" customWidth="1"/>
    <col min="15369" max="15369" width="11.42578125" style="1" customWidth="1"/>
    <col min="15370" max="15372" width="11" style="1" customWidth="1"/>
    <col min="15373" max="15373" width="13.28515625" style="1" customWidth="1"/>
    <col min="15374" max="15374" width="17" style="1" customWidth="1"/>
    <col min="15375" max="15378" width="11.42578125" style="1" customWidth="1"/>
    <col min="15379" max="15379" width="10.7109375" style="1" customWidth="1"/>
    <col min="15380" max="15616" width="9.140625" style="1"/>
    <col min="15617" max="15617" width="17.5703125" style="1" customWidth="1"/>
    <col min="15618" max="15618" width="34.42578125" style="1" customWidth="1"/>
    <col min="15619" max="15619" width="37.42578125" style="1" customWidth="1"/>
    <col min="15620" max="15620" width="9.5703125" style="1" customWidth="1"/>
    <col min="15621" max="15621" width="9.42578125" style="1" customWidth="1"/>
    <col min="15622" max="15622" width="13.28515625" style="1" customWidth="1"/>
    <col min="15623" max="15623" width="9.140625" style="1"/>
    <col min="15624" max="15624" width="11.85546875" style="1" customWidth="1"/>
    <col min="15625" max="15625" width="11.42578125" style="1" customWidth="1"/>
    <col min="15626" max="15628" width="11" style="1" customWidth="1"/>
    <col min="15629" max="15629" width="13.28515625" style="1" customWidth="1"/>
    <col min="15630" max="15630" width="17" style="1" customWidth="1"/>
    <col min="15631" max="15634" width="11.42578125" style="1" customWidth="1"/>
    <col min="15635" max="15635" width="10.7109375" style="1" customWidth="1"/>
    <col min="15636" max="15872" width="9.140625" style="1"/>
    <col min="15873" max="15873" width="17.5703125" style="1" customWidth="1"/>
    <col min="15874" max="15874" width="34.42578125" style="1" customWidth="1"/>
    <col min="15875" max="15875" width="37.42578125" style="1" customWidth="1"/>
    <col min="15876" max="15876" width="9.5703125" style="1" customWidth="1"/>
    <col min="15877" max="15877" width="9.42578125" style="1" customWidth="1"/>
    <col min="15878" max="15878" width="13.28515625" style="1" customWidth="1"/>
    <col min="15879" max="15879" width="9.140625" style="1"/>
    <col min="15880" max="15880" width="11.85546875" style="1" customWidth="1"/>
    <col min="15881" max="15881" width="11.42578125" style="1" customWidth="1"/>
    <col min="15882" max="15884" width="11" style="1" customWidth="1"/>
    <col min="15885" max="15885" width="13.28515625" style="1" customWidth="1"/>
    <col min="15886" max="15886" width="17" style="1" customWidth="1"/>
    <col min="15887" max="15890" width="11.42578125" style="1" customWidth="1"/>
    <col min="15891" max="15891" width="10.7109375" style="1" customWidth="1"/>
    <col min="15892" max="16128" width="9.140625" style="1"/>
    <col min="16129" max="16129" width="17.5703125" style="1" customWidth="1"/>
    <col min="16130" max="16130" width="34.42578125" style="1" customWidth="1"/>
    <col min="16131" max="16131" width="37.42578125" style="1" customWidth="1"/>
    <col min="16132" max="16132" width="9.5703125" style="1" customWidth="1"/>
    <col min="16133" max="16133" width="9.42578125" style="1" customWidth="1"/>
    <col min="16134" max="16134" width="13.28515625" style="1" customWidth="1"/>
    <col min="16135" max="16135" width="9.140625" style="1"/>
    <col min="16136" max="16136" width="11.85546875" style="1" customWidth="1"/>
    <col min="16137" max="16137" width="11.42578125" style="1" customWidth="1"/>
    <col min="16138" max="16140" width="11" style="1" customWidth="1"/>
    <col min="16141" max="16141" width="13.28515625" style="1" customWidth="1"/>
    <col min="16142" max="16142" width="17" style="1" customWidth="1"/>
    <col min="16143" max="16146" width="11.42578125" style="1" customWidth="1"/>
    <col min="16147" max="16147" width="10.7109375" style="1" customWidth="1"/>
    <col min="16148" max="16384" width="9.140625" style="1"/>
  </cols>
  <sheetData>
    <row r="1" spans="1:19" ht="36.75" customHeight="1" x14ac:dyDescent="0.25">
      <c r="G1" s="64" t="s">
        <v>239</v>
      </c>
      <c r="H1" s="64"/>
      <c r="I1" s="64"/>
      <c r="J1" s="64"/>
      <c r="K1" s="64"/>
      <c r="L1" s="64"/>
      <c r="M1" s="64"/>
    </row>
    <row r="2" spans="1:19" ht="79.5" customHeight="1" x14ac:dyDescent="0.25">
      <c r="G2" s="65" t="s">
        <v>0</v>
      </c>
      <c r="H2" s="65"/>
      <c r="I2" s="65"/>
      <c r="J2" s="65"/>
      <c r="K2" s="65"/>
      <c r="L2" s="65"/>
      <c r="M2" s="65"/>
    </row>
    <row r="4" spans="1:19" ht="30.75" customHeight="1" x14ac:dyDescent="0.25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6" spans="1:19" ht="15" customHeight="1" x14ac:dyDescent="0.25">
      <c r="A6" s="67" t="s">
        <v>2</v>
      </c>
      <c r="B6" s="60" t="s">
        <v>3</v>
      </c>
      <c r="C6" s="67" t="s">
        <v>4</v>
      </c>
      <c r="D6" s="68" t="s">
        <v>5</v>
      </c>
      <c r="E6" s="69"/>
      <c r="F6" s="69"/>
      <c r="G6" s="70"/>
      <c r="H6" s="71" t="s">
        <v>6</v>
      </c>
      <c r="I6" s="71"/>
      <c r="J6" s="71"/>
      <c r="K6" s="71"/>
      <c r="L6" s="71"/>
      <c r="M6" s="71"/>
    </row>
    <row r="7" spans="1:19" ht="47.25" customHeight="1" x14ac:dyDescent="0.25">
      <c r="A7" s="67"/>
      <c r="B7" s="62"/>
      <c r="C7" s="67"/>
      <c r="D7" s="4" t="s">
        <v>7</v>
      </c>
      <c r="E7" s="4" t="s">
        <v>8</v>
      </c>
      <c r="F7" s="4" t="s">
        <v>9</v>
      </c>
      <c r="G7" s="4" t="s">
        <v>10</v>
      </c>
      <c r="H7" s="5">
        <v>2014</v>
      </c>
      <c r="I7" s="5">
        <v>2015</v>
      </c>
      <c r="J7" s="5">
        <v>2016</v>
      </c>
      <c r="K7" s="5">
        <v>2017</v>
      </c>
      <c r="L7" s="5">
        <v>2018</v>
      </c>
      <c r="M7" s="6" t="s">
        <v>11</v>
      </c>
    </row>
    <row r="8" spans="1:19" ht="30" customHeight="1" x14ac:dyDescent="0.25">
      <c r="A8" s="54" t="s">
        <v>12</v>
      </c>
      <c r="B8" s="57" t="str">
        <f>'[1]Приложение 4'!B8:B14</f>
        <v xml:space="preserve">Реформирование и модернизация жилищно-коммунального хозяйства и повышение энергетической эффективности муниципального образования «город Шарыпово Красноярского края» </v>
      </c>
      <c r="C8" s="7" t="s">
        <v>13</v>
      </c>
      <c r="D8" s="8" t="s">
        <v>14</v>
      </c>
      <c r="E8" s="8" t="s">
        <v>14</v>
      </c>
      <c r="F8" s="8" t="s">
        <v>14</v>
      </c>
      <c r="G8" s="8" t="s">
        <v>14</v>
      </c>
      <c r="H8" s="9">
        <f>SUM(H10:H17)</f>
        <v>48062.078699999998</v>
      </c>
      <c r="I8" s="9">
        <f>SUM(I10:I17)</f>
        <v>53470.631800000003</v>
      </c>
      <c r="J8" s="9">
        <f>SUM(J10:J17)</f>
        <v>45105.328999999998</v>
      </c>
      <c r="K8" s="9">
        <f>SUM(K10:K17)</f>
        <v>44991</v>
      </c>
      <c r="L8" s="9">
        <f>SUM(L10:L17)</f>
        <v>44991</v>
      </c>
      <c r="M8" s="9">
        <f>H8+I8+J8+K8+L8</f>
        <v>236620.03950000001</v>
      </c>
      <c r="N8" s="10"/>
      <c r="O8" s="11"/>
      <c r="P8" s="11"/>
      <c r="Q8" s="11"/>
      <c r="R8" s="11"/>
      <c r="S8" s="11"/>
    </row>
    <row r="9" spans="1:19" x14ac:dyDescent="0.25">
      <c r="A9" s="55"/>
      <c r="B9" s="58"/>
      <c r="C9" s="7" t="s">
        <v>15</v>
      </c>
      <c r="D9" s="8"/>
      <c r="E9" s="8"/>
      <c r="F9" s="8"/>
      <c r="G9" s="8"/>
      <c r="H9" s="9"/>
      <c r="I9" s="9"/>
      <c r="J9" s="9"/>
      <c r="K9" s="9"/>
      <c r="L9" s="9"/>
      <c r="M9" s="9"/>
      <c r="N9" s="10"/>
      <c r="O9" s="11"/>
      <c r="P9" s="11"/>
      <c r="Q9" s="11"/>
      <c r="R9" s="11"/>
      <c r="S9" s="11"/>
    </row>
    <row r="10" spans="1:19" x14ac:dyDescent="0.25">
      <c r="A10" s="55"/>
      <c r="B10" s="58"/>
      <c r="C10" s="7" t="str">
        <f>C55</f>
        <v>МКУ "СГХ"</v>
      </c>
      <c r="D10" s="8">
        <v>133</v>
      </c>
      <c r="E10" s="8" t="s">
        <v>14</v>
      </c>
      <c r="F10" s="8" t="s">
        <v>14</v>
      </c>
      <c r="G10" s="8" t="s">
        <v>14</v>
      </c>
      <c r="H10" s="9">
        <f>H20+H55+H125</f>
        <v>43889.22</v>
      </c>
      <c r="I10" s="9">
        <f>I20+I55+I125</f>
        <v>48429.811799999996</v>
      </c>
      <c r="J10" s="9">
        <f>J20+J55+J125</f>
        <v>39493.839</v>
      </c>
      <c r="K10" s="9">
        <f>K20+K55+K125</f>
        <v>39575.01</v>
      </c>
      <c r="L10" s="9">
        <f>L20+L55+L125</f>
        <v>39575.01</v>
      </c>
      <c r="M10" s="9">
        <f t="shared" ref="M10:M17" si="0">H10+I10+J10+K10+L10</f>
        <v>210962.89080000002</v>
      </c>
      <c r="N10" s="10"/>
      <c r="O10" s="11"/>
      <c r="P10" s="11"/>
      <c r="Q10" s="11"/>
      <c r="R10" s="11"/>
      <c r="S10" s="11"/>
    </row>
    <row r="11" spans="1:19" x14ac:dyDescent="0.25">
      <c r="A11" s="55"/>
      <c r="B11" s="58"/>
      <c r="C11" s="7" t="str">
        <f>C21</f>
        <v>Администрация города Шарыпово</v>
      </c>
      <c r="D11" s="8" t="s">
        <v>16</v>
      </c>
      <c r="E11" s="8" t="s">
        <v>14</v>
      </c>
      <c r="F11" s="8" t="s">
        <v>14</v>
      </c>
      <c r="G11" s="8" t="s">
        <v>14</v>
      </c>
      <c r="H11" s="9">
        <f>H21+H57</f>
        <v>1135.1287</v>
      </c>
      <c r="I11" s="9">
        <f>I21+I57</f>
        <v>0</v>
      </c>
      <c r="J11" s="9">
        <f>J21+J57</f>
        <v>0</v>
      </c>
      <c r="K11" s="9">
        <f>K21+K57</f>
        <v>0</v>
      </c>
      <c r="L11" s="9">
        <f>L21+L57</f>
        <v>0</v>
      </c>
      <c r="M11" s="9">
        <f t="shared" si="0"/>
        <v>1135.1287</v>
      </c>
      <c r="N11" s="10"/>
    </row>
    <row r="12" spans="1:19" ht="30.75" customHeight="1" x14ac:dyDescent="0.25">
      <c r="A12" s="55"/>
      <c r="B12" s="58"/>
      <c r="C12" s="7" t="str">
        <f>C56</f>
        <v>Администрация поселка Горячегорск</v>
      </c>
      <c r="D12" s="8" t="s">
        <v>17</v>
      </c>
      <c r="E12" s="8" t="s">
        <v>14</v>
      </c>
      <c r="F12" s="8" t="s">
        <v>14</v>
      </c>
      <c r="G12" s="8" t="s">
        <v>14</v>
      </c>
      <c r="H12" s="9">
        <f>H56+H126</f>
        <v>1025.52</v>
      </c>
      <c r="I12" s="9">
        <f>I56+I126</f>
        <v>1066.58</v>
      </c>
      <c r="J12" s="9">
        <f>J56+J126</f>
        <v>1201.69</v>
      </c>
      <c r="K12" s="9">
        <f>K56+K126</f>
        <v>1201.69</v>
      </c>
      <c r="L12" s="9">
        <f>L56+L126</f>
        <v>1201.69</v>
      </c>
      <c r="M12" s="9">
        <f t="shared" si="0"/>
        <v>5697.17</v>
      </c>
      <c r="N12" s="10"/>
      <c r="O12" s="12"/>
      <c r="P12" s="12"/>
      <c r="Q12" s="12"/>
      <c r="R12" s="12"/>
      <c r="S12" s="12"/>
    </row>
    <row r="13" spans="1:19" ht="16.5" customHeight="1" x14ac:dyDescent="0.25">
      <c r="A13" s="55"/>
      <c r="B13" s="58"/>
      <c r="C13" s="7" t="str">
        <f>C127</f>
        <v>Администрация поселка Дубинино</v>
      </c>
      <c r="D13" s="8" t="s">
        <v>18</v>
      </c>
      <c r="E13" s="8" t="s">
        <v>14</v>
      </c>
      <c r="F13" s="8" t="s">
        <v>14</v>
      </c>
      <c r="G13" s="8" t="s">
        <v>14</v>
      </c>
      <c r="H13" s="9">
        <f>H22++H127</f>
        <v>140.74</v>
      </c>
      <c r="I13" s="9">
        <f>I22++I127</f>
        <v>51.16</v>
      </c>
      <c r="J13" s="9">
        <f>J22++J127</f>
        <v>13.7</v>
      </c>
      <c r="K13" s="9">
        <f>K22++K127</f>
        <v>13.7</v>
      </c>
      <c r="L13" s="9">
        <f>L22++L127</f>
        <v>13.7</v>
      </c>
      <c r="M13" s="9">
        <f t="shared" si="0"/>
        <v>232.99999999999997</v>
      </c>
      <c r="N13" s="10"/>
    </row>
    <row r="14" spans="1:19" ht="30.75" customHeight="1" x14ac:dyDescent="0.25">
      <c r="A14" s="55"/>
      <c r="B14" s="58"/>
      <c r="C14" s="7" t="str">
        <f>C23</f>
        <v>Отдел культуры администрации г. Шарыпово</v>
      </c>
      <c r="D14" s="8" t="s">
        <v>19</v>
      </c>
      <c r="E14" s="8" t="s">
        <v>14</v>
      </c>
      <c r="F14" s="8" t="s">
        <v>14</v>
      </c>
      <c r="G14" s="8" t="s">
        <v>14</v>
      </c>
      <c r="H14" s="9">
        <f t="shared" ref="H14:L16" si="1">H23</f>
        <v>417.96</v>
      </c>
      <c r="I14" s="9">
        <f>I23</f>
        <v>0</v>
      </c>
      <c r="J14" s="9">
        <f t="shared" si="1"/>
        <v>0</v>
      </c>
      <c r="K14" s="9">
        <f t="shared" si="1"/>
        <v>0</v>
      </c>
      <c r="L14" s="9">
        <f t="shared" si="1"/>
        <v>0</v>
      </c>
      <c r="M14" s="9">
        <f t="shared" si="0"/>
        <v>417.96</v>
      </c>
      <c r="N14" s="10"/>
    </row>
    <row r="15" spans="1:19" ht="29.25" customHeight="1" x14ac:dyDescent="0.25">
      <c r="A15" s="55"/>
      <c r="B15" s="58"/>
      <c r="C15" s="7" t="str">
        <f>C24</f>
        <v>Управление образованием администрации г. Шарыпово</v>
      </c>
      <c r="D15" s="8" t="s">
        <v>20</v>
      </c>
      <c r="E15" s="8" t="s">
        <v>14</v>
      </c>
      <c r="F15" s="8" t="s">
        <v>14</v>
      </c>
      <c r="G15" s="8" t="s">
        <v>14</v>
      </c>
      <c r="H15" s="9">
        <f t="shared" si="1"/>
        <v>601.55999999999995</v>
      </c>
      <c r="I15" s="9">
        <f>I24</f>
        <v>0</v>
      </c>
      <c r="J15" s="9">
        <f t="shared" si="1"/>
        <v>0</v>
      </c>
      <c r="K15" s="9">
        <f t="shared" si="1"/>
        <v>0</v>
      </c>
      <c r="L15" s="9">
        <f t="shared" si="1"/>
        <v>0</v>
      </c>
      <c r="M15" s="9">
        <f t="shared" si="0"/>
        <v>601.55999999999995</v>
      </c>
      <c r="N15" s="10"/>
    </row>
    <row r="16" spans="1:19" ht="44.25" customHeight="1" x14ac:dyDescent="0.25">
      <c r="A16" s="55"/>
      <c r="B16" s="58"/>
      <c r="C16" s="13" t="s">
        <v>21</v>
      </c>
      <c r="D16" s="8" t="s">
        <v>22</v>
      </c>
      <c r="E16" s="8" t="s">
        <v>14</v>
      </c>
      <c r="F16" s="8" t="s">
        <v>14</v>
      </c>
      <c r="G16" s="8" t="s">
        <v>14</v>
      </c>
      <c r="H16" s="9">
        <f t="shared" si="1"/>
        <v>28.83</v>
      </c>
      <c r="I16" s="9">
        <f>I25</f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0"/>
        <v>28.83</v>
      </c>
      <c r="N16" s="10"/>
    </row>
    <row r="17" spans="1:14" ht="17.25" customHeight="1" x14ac:dyDescent="0.25">
      <c r="A17" s="56"/>
      <c r="B17" s="59"/>
      <c r="C17" s="7" t="s">
        <v>23</v>
      </c>
      <c r="D17" s="8" t="s">
        <v>24</v>
      </c>
      <c r="E17" s="8" t="s">
        <v>14</v>
      </c>
      <c r="F17" s="8" t="s">
        <v>14</v>
      </c>
      <c r="G17" s="8" t="s">
        <v>14</v>
      </c>
      <c r="H17" s="9">
        <f>H128+H192</f>
        <v>823.12</v>
      </c>
      <c r="I17" s="9">
        <f>I128+I192</f>
        <v>3923.08</v>
      </c>
      <c r="J17" s="9">
        <f>J128+J192</f>
        <v>4396.1000000000004</v>
      </c>
      <c r="K17" s="9">
        <f>K128+K192</f>
        <v>4200.6000000000004</v>
      </c>
      <c r="L17" s="9">
        <f>L128+L192</f>
        <v>4200.6000000000004</v>
      </c>
      <c r="M17" s="9">
        <f t="shared" si="0"/>
        <v>17543.5</v>
      </c>
      <c r="N17" s="10"/>
    </row>
    <row r="18" spans="1:14" s="15" customFormat="1" ht="29.25" customHeight="1" x14ac:dyDescent="0.25">
      <c r="A18" s="57" t="s">
        <v>25</v>
      </c>
      <c r="B18" s="57" t="s">
        <v>26</v>
      </c>
      <c r="C18" s="7" t="s">
        <v>27</v>
      </c>
      <c r="D18" s="8" t="s">
        <v>14</v>
      </c>
      <c r="E18" s="8" t="s">
        <v>14</v>
      </c>
      <c r="F18" s="8" t="s">
        <v>14</v>
      </c>
      <c r="G18" s="8" t="s">
        <v>14</v>
      </c>
      <c r="H18" s="9">
        <f>SUM(H20:H25)</f>
        <v>2075.1786999999999</v>
      </c>
      <c r="I18" s="9">
        <f>SUM(I20:I25)</f>
        <v>89.52</v>
      </c>
      <c r="J18" s="9">
        <f>SUM(J20:J25)</f>
        <v>300</v>
      </c>
      <c r="K18" s="9">
        <f>SUM(K20:K25)</f>
        <v>300</v>
      </c>
      <c r="L18" s="9">
        <f>SUM(L20:L25)</f>
        <v>300</v>
      </c>
      <c r="M18" s="9">
        <f>SUM(H18:L18)</f>
        <v>3064.6986999999999</v>
      </c>
      <c r="N18" s="14"/>
    </row>
    <row r="19" spans="1:14" s="15" customFormat="1" ht="15" customHeight="1" x14ac:dyDescent="0.25">
      <c r="A19" s="58"/>
      <c r="B19" s="58"/>
      <c r="C19" s="7" t="s">
        <v>15</v>
      </c>
      <c r="D19" s="8"/>
      <c r="E19" s="8" t="s">
        <v>14</v>
      </c>
      <c r="F19" s="8" t="s">
        <v>14</v>
      </c>
      <c r="G19" s="8" t="s">
        <v>14</v>
      </c>
      <c r="H19" s="9"/>
      <c r="I19" s="9"/>
      <c r="J19" s="9"/>
      <c r="K19" s="9"/>
      <c r="L19" s="9"/>
      <c r="M19" s="9"/>
      <c r="N19" s="14"/>
    </row>
    <row r="20" spans="1:14" s="15" customFormat="1" ht="14.25" x14ac:dyDescent="0.25">
      <c r="A20" s="58"/>
      <c r="B20" s="58"/>
      <c r="C20" s="7" t="s">
        <v>28</v>
      </c>
      <c r="D20" s="8">
        <v>133</v>
      </c>
      <c r="E20" s="8" t="s">
        <v>14</v>
      </c>
      <c r="F20" s="8" t="s">
        <v>14</v>
      </c>
      <c r="G20" s="8" t="s">
        <v>14</v>
      </c>
      <c r="H20" s="16">
        <f>H28+H31+H37</f>
        <v>909.49</v>
      </c>
      <c r="I20" s="9">
        <f>I28+I31+I37-0.01</f>
        <v>89.52</v>
      </c>
      <c r="J20" s="9">
        <f>J28+J31+J37</f>
        <v>300</v>
      </c>
      <c r="K20" s="9">
        <f>K28+K31+K37</f>
        <v>300</v>
      </c>
      <c r="L20" s="9">
        <f>L28+L31+L37</f>
        <v>300</v>
      </c>
      <c r="M20" s="9">
        <f t="shared" ref="M20:M26" si="2">SUM(H20:L20)</f>
        <v>1899.01</v>
      </c>
      <c r="N20" s="14"/>
    </row>
    <row r="21" spans="1:14" s="15" customFormat="1" ht="15.75" customHeight="1" x14ac:dyDescent="0.25">
      <c r="A21" s="58"/>
      <c r="B21" s="58"/>
      <c r="C21" s="7" t="str">
        <f>C34</f>
        <v>Администрация города Шарыпово</v>
      </c>
      <c r="D21" s="17" t="s">
        <v>16</v>
      </c>
      <c r="E21" s="8" t="s">
        <v>14</v>
      </c>
      <c r="F21" s="8" t="s">
        <v>14</v>
      </c>
      <c r="G21" s="8" t="s">
        <v>14</v>
      </c>
      <c r="H21" s="9">
        <f>H34+H41</f>
        <v>58.688700000000004</v>
      </c>
      <c r="I21" s="9">
        <f>I34+I41</f>
        <v>0</v>
      </c>
      <c r="J21" s="9">
        <f>J34+J41</f>
        <v>0</v>
      </c>
      <c r="K21" s="9">
        <f>K34+K41</f>
        <v>0</v>
      </c>
      <c r="L21" s="9">
        <f>L34+L41</f>
        <v>0</v>
      </c>
      <c r="M21" s="9">
        <f t="shared" si="2"/>
        <v>58.688700000000004</v>
      </c>
      <c r="N21" s="14"/>
    </row>
    <row r="22" spans="1:14" s="15" customFormat="1" ht="16.5" customHeight="1" x14ac:dyDescent="0.25">
      <c r="A22" s="58"/>
      <c r="B22" s="58"/>
      <c r="C22" s="13" t="s">
        <v>29</v>
      </c>
      <c r="D22" s="17" t="s">
        <v>18</v>
      </c>
      <c r="E22" s="8" t="s">
        <v>14</v>
      </c>
      <c r="F22" s="8" t="s">
        <v>14</v>
      </c>
      <c r="G22" s="8" t="s">
        <v>14</v>
      </c>
      <c r="H22" s="9">
        <f>H40</f>
        <v>58.65</v>
      </c>
      <c r="I22" s="9">
        <f>I40</f>
        <v>0</v>
      </c>
      <c r="J22" s="9">
        <f>J40</f>
        <v>0</v>
      </c>
      <c r="K22" s="9">
        <f>K40</f>
        <v>0</v>
      </c>
      <c r="L22" s="9">
        <f>L40</f>
        <v>0</v>
      </c>
      <c r="M22" s="9">
        <f t="shared" si="2"/>
        <v>58.65</v>
      </c>
      <c r="N22" s="14"/>
    </row>
    <row r="23" spans="1:14" s="15" customFormat="1" ht="29.25" customHeight="1" x14ac:dyDescent="0.25">
      <c r="A23" s="58"/>
      <c r="B23" s="58"/>
      <c r="C23" s="13" t="str">
        <f>C42</f>
        <v>Отдел культуры администрации г. Шарыпово</v>
      </c>
      <c r="D23" s="17" t="s">
        <v>19</v>
      </c>
      <c r="E23" s="8" t="s">
        <v>14</v>
      </c>
      <c r="F23" s="8" t="s">
        <v>14</v>
      </c>
      <c r="G23" s="8" t="s">
        <v>14</v>
      </c>
      <c r="H23" s="9">
        <f>H42+H43+H44+H45</f>
        <v>417.96</v>
      </c>
      <c r="I23" s="9">
        <f>I42+I43+I44+I45</f>
        <v>0</v>
      </c>
      <c r="J23" s="9">
        <f>J42+J43+J44+J45</f>
        <v>0</v>
      </c>
      <c r="K23" s="9">
        <f>K42+K43+K44+K45</f>
        <v>0</v>
      </c>
      <c r="L23" s="9">
        <f>L42+L43+L44+L45</f>
        <v>0</v>
      </c>
      <c r="M23" s="9">
        <f t="shared" si="2"/>
        <v>417.96</v>
      </c>
      <c r="N23" s="14"/>
    </row>
    <row r="24" spans="1:14" s="15" customFormat="1" ht="30.75" customHeight="1" x14ac:dyDescent="0.25">
      <c r="A24" s="58"/>
      <c r="B24" s="58"/>
      <c r="C24" s="13" t="str">
        <f>C46</f>
        <v>Управление образованием администрации г. Шарыпово</v>
      </c>
      <c r="D24" s="17" t="s">
        <v>20</v>
      </c>
      <c r="E24" s="8" t="s">
        <v>14</v>
      </c>
      <c r="F24" s="8" t="s">
        <v>14</v>
      </c>
      <c r="G24" s="8" t="s">
        <v>14</v>
      </c>
      <c r="H24" s="9">
        <f>H46+H47+H48</f>
        <v>601.55999999999995</v>
      </c>
      <c r="I24" s="9">
        <f>I46+I47+I48</f>
        <v>0</v>
      </c>
      <c r="J24" s="9">
        <f>J46+J47+J48</f>
        <v>0</v>
      </c>
      <c r="K24" s="9">
        <f>K46+K47+K48</f>
        <v>0</v>
      </c>
      <c r="L24" s="9">
        <f>L46+L47+L48</f>
        <v>0</v>
      </c>
      <c r="M24" s="9">
        <f t="shared" si="2"/>
        <v>601.55999999999995</v>
      </c>
      <c r="N24" s="18"/>
    </row>
    <row r="25" spans="1:14" s="15" customFormat="1" ht="44.25" customHeight="1" x14ac:dyDescent="0.25">
      <c r="A25" s="59"/>
      <c r="B25" s="59"/>
      <c r="C25" s="13" t="s">
        <v>21</v>
      </c>
      <c r="D25" s="17" t="s">
        <v>22</v>
      </c>
      <c r="E25" s="8" t="s">
        <v>14</v>
      </c>
      <c r="F25" s="8" t="s">
        <v>14</v>
      </c>
      <c r="G25" s="8" t="s">
        <v>14</v>
      </c>
      <c r="H25" s="9">
        <f>H51+H52</f>
        <v>28.83</v>
      </c>
      <c r="I25" s="9">
        <f>I51+I52</f>
        <v>0</v>
      </c>
      <c r="J25" s="9">
        <f>J51+J52</f>
        <v>0</v>
      </c>
      <c r="K25" s="9">
        <f>K51+K52</f>
        <v>0</v>
      </c>
      <c r="L25" s="9">
        <f>L51+L52</f>
        <v>0</v>
      </c>
      <c r="M25" s="9">
        <f t="shared" si="2"/>
        <v>28.83</v>
      </c>
      <c r="N25" s="18"/>
    </row>
    <row r="26" spans="1:14" s="15" customFormat="1" ht="33" customHeight="1" x14ac:dyDescent="0.25">
      <c r="A26" s="60" t="s">
        <v>30</v>
      </c>
      <c r="B26" s="63" t="s">
        <v>31</v>
      </c>
      <c r="C26" s="19" t="s">
        <v>13</v>
      </c>
      <c r="D26" s="4" t="s">
        <v>14</v>
      </c>
      <c r="E26" s="4" t="s">
        <v>14</v>
      </c>
      <c r="F26" s="4" t="s">
        <v>14</v>
      </c>
      <c r="G26" s="4" t="s">
        <v>14</v>
      </c>
      <c r="H26" s="6">
        <f>H28</f>
        <v>431.74</v>
      </c>
      <c r="I26" s="6">
        <f>I28</f>
        <v>49.08</v>
      </c>
      <c r="J26" s="6">
        <f>J28</f>
        <v>100</v>
      </c>
      <c r="K26" s="6">
        <f>K28</f>
        <v>100</v>
      </c>
      <c r="L26" s="6">
        <f>L28</f>
        <v>100</v>
      </c>
      <c r="M26" s="6">
        <f t="shared" si="2"/>
        <v>780.81999999999994</v>
      </c>
      <c r="N26" s="18"/>
    </row>
    <row r="27" spans="1:14" s="15" customFormat="1" ht="18.75" customHeight="1" x14ac:dyDescent="0.25">
      <c r="A27" s="61"/>
      <c r="B27" s="63"/>
      <c r="C27" s="19" t="s">
        <v>15</v>
      </c>
      <c r="D27" s="17"/>
      <c r="E27" s="8"/>
      <c r="F27" s="8"/>
      <c r="G27" s="8"/>
      <c r="H27" s="9"/>
      <c r="I27" s="9"/>
      <c r="J27" s="9"/>
      <c r="K27" s="9"/>
      <c r="L27" s="9"/>
      <c r="M27" s="6"/>
      <c r="N27" s="18"/>
    </row>
    <row r="28" spans="1:14" ht="39.75" customHeight="1" x14ac:dyDescent="0.25">
      <c r="A28" s="62"/>
      <c r="B28" s="63"/>
      <c r="C28" s="19" t="s">
        <v>28</v>
      </c>
      <c r="D28" s="20" t="s">
        <v>32</v>
      </c>
      <c r="E28" s="20" t="s">
        <v>33</v>
      </c>
      <c r="F28" s="21" t="s">
        <v>34</v>
      </c>
      <c r="G28" s="20" t="s">
        <v>35</v>
      </c>
      <c r="H28" s="22">
        <f>ROUND(317.48242+114.264,2)-0.01</f>
        <v>431.74</v>
      </c>
      <c r="I28" s="23">
        <v>49.08</v>
      </c>
      <c r="J28" s="22">
        <f>ROUND(100,2)</f>
        <v>100</v>
      </c>
      <c r="K28" s="22">
        <f>ROUND(100,2)</f>
        <v>100</v>
      </c>
      <c r="L28" s="22">
        <f>ROUND(100,2)</f>
        <v>100</v>
      </c>
      <c r="M28" s="6">
        <f>SUM(H28:L28)</f>
        <v>780.81999999999994</v>
      </c>
    </row>
    <row r="29" spans="1:14" ht="26.25" customHeight="1" x14ac:dyDescent="0.25">
      <c r="A29" s="60" t="s">
        <v>36</v>
      </c>
      <c r="B29" s="73" t="s">
        <v>37</v>
      </c>
      <c r="C29" s="19" t="s">
        <v>13</v>
      </c>
      <c r="D29" s="4" t="s">
        <v>14</v>
      </c>
      <c r="E29" s="4" t="s">
        <v>14</v>
      </c>
      <c r="F29" s="4" t="s">
        <v>14</v>
      </c>
      <c r="G29" s="4" t="s">
        <v>14</v>
      </c>
      <c r="H29" s="6">
        <f>H31</f>
        <v>89.54</v>
      </c>
      <c r="I29" s="6">
        <f>I31</f>
        <v>40.450000000000003</v>
      </c>
      <c r="J29" s="6">
        <f>J31</f>
        <v>200</v>
      </c>
      <c r="K29" s="6">
        <f>K31</f>
        <v>200</v>
      </c>
      <c r="L29" s="6">
        <f>L31</f>
        <v>200</v>
      </c>
      <c r="M29" s="6">
        <f>SUM(H29:L29)</f>
        <v>729.99</v>
      </c>
    </row>
    <row r="30" spans="1:14" ht="16.5" customHeight="1" x14ac:dyDescent="0.25">
      <c r="A30" s="61"/>
      <c r="B30" s="74"/>
      <c r="C30" s="19" t="s">
        <v>15</v>
      </c>
      <c r="D30" s="20"/>
      <c r="E30" s="20"/>
      <c r="F30" s="20"/>
      <c r="G30" s="20"/>
      <c r="H30" s="6"/>
      <c r="I30" s="6"/>
      <c r="J30" s="6"/>
      <c r="K30" s="6"/>
      <c r="L30" s="6"/>
      <c r="M30" s="6"/>
    </row>
    <row r="31" spans="1:14" ht="93.75" customHeight="1" x14ac:dyDescent="0.25">
      <c r="A31" s="62"/>
      <c r="B31" s="75"/>
      <c r="C31" s="19" t="s">
        <v>28</v>
      </c>
      <c r="D31" s="20" t="s">
        <v>32</v>
      </c>
      <c r="E31" s="20" t="s">
        <v>33</v>
      </c>
      <c r="F31" s="21" t="s">
        <v>38</v>
      </c>
      <c r="G31" s="20" t="s">
        <v>35</v>
      </c>
      <c r="H31" s="22">
        <f>ROUND(89.53958,2)</f>
        <v>89.54</v>
      </c>
      <c r="I31" s="22">
        <v>40.450000000000003</v>
      </c>
      <c r="J31" s="22">
        <f>ROUND(200,2)</f>
        <v>200</v>
      </c>
      <c r="K31" s="22">
        <f>ROUND(200,2)</f>
        <v>200</v>
      </c>
      <c r="L31" s="22">
        <f>ROUND(200,2)</f>
        <v>200</v>
      </c>
      <c r="M31" s="6">
        <f>SUM(H31:L31)</f>
        <v>729.99</v>
      </c>
    </row>
    <row r="32" spans="1:14" ht="30" x14ac:dyDescent="0.25">
      <c r="A32" s="60" t="s">
        <v>39</v>
      </c>
      <c r="B32" s="73" t="s">
        <v>40</v>
      </c>
      <c r="C32" s="19" t="s">
        <v>13</v>
      </c>
      <c r="D32" s="4" t="s">
        <v>14</v>
      </c>
      <c r="E32" s="4" t="s">
        <v>14</v>
      </c>
      <c r="F32" s="4" t="s">
        <v>14</v>
      </c>
      <c r="G32" s="4" t="s">
        <v>14</v>
      </c>
      <c r="H32" s="6">
        <f>H34</f>
        <v>5.8700000000000002E-2</v>
      </c>
      <c r="I32" s="6">
        <f>I34</f>
        <v>0</v>
      </c>
      <c r="J32" s="6">
        <f>J34</f>
        <v>0</v>
      </c>
      <c r="K32" s="6">
        <f>K34</f>
        <v>0</v>
      </c>
      <c r="L32" s="6">
        <f>L34</f>
        <v>0</v>
      </c>
      <c r="M32" s="6">
        <f>SUM(H32:L32)</f>
        <v>5.8700000000000002E-2</v>
      </c>
    </row>
    <row r="33" spans="1:14" ht="17.25" customHeight="1" x14ac:dyDescent="0.25">
      <c r="A33" s="61"/>
      <c r="B33" s="74"/>
      <c r="C33" s="19" t="s">
        <v>15</v>
      </c>
      <c r="D33" s="24"/>
      <c r="E33" s="24"/>
      <c r="F33" s="24"/>
      <c r="G33" s="24"/>
      <c r="H33" s="6"/>
      <c r="I33" s="6"/>
      <c r="J33" s="6"/>
      <c r="K33" s="6"/>
      <c r="L33" s="6"/>
      <c r="M33" s="6"/>
    </row>
    <row r="34" spans="1:14" ht="18.75" customHeight="1" x14ac:dyDescent="0.25">
      <c r="A34" s="62"/>
      <c r="B34" s="75"/>
      <c r="C34" s="25" t="s">
        <v>41</v>
      </c>
      <c r="D34" s="24" t="s">
        <v>16</v>
      </c>
      <c r="E34" s="24" t="s">
        <v>42</v>
      </c>
      <c r="F34" s="24" t="s">
        <v>43</v>
      </c>
      <c r="G34" s="24" t="s">
        <v>44</v>
      </c>
      <c r="H34" s="22">
        <f>58.7/1000</f>
        <v>5.8700000000000002E-2</v>
      </c>
      <c r="I34" s="22">
        <v>0</v>
      </c>
      <c r="J34" s="22">
        <v>0</v>
      </c>
      <c r="K34" s="22">
        <v>0</v>
      </c>
      <c r="L34" s="22">
        <v>0</v>
      </c>
      <c r="M34" s="6">
        <f>SUM(H34:L34)</f>
        <v>5.8700000000000002E-2</v>
      </c>
    </row>
    <row r="35" spans="1:14" ht="30" x14ac:dyDescent="0.25">
      <c r="A35" s="60" t="s">
        <v>45</v>
      </c>
      <c r="B35" s="73" t="s">
        <v>46</v>
      </c>
      <c r="C35" s="19" t="s">
        <v>13</v>
      </c>
      <c r="D35" s="4" t="s">
        <v>14</v>
      </c>
      <c r="E35" s="4" t="s">
        <v>14</v>
      </c>
      <c r="F35" s="4" t="s">
        <v>14</v>
      </c>
      <c r="G35" s="4" t="s">
        <v>14</v>
      </c>
      <c r="H35" s="6">
        <f>H37</f>
        <v>388.21</v>
      </c>
      <c r="I35" s="6">
        <f>I37</f>
        <v>0</v>
      </c>
      <c r="J35" s="6">
        <f>J37</f>
        <v>0</v>
      </c>
      <c r="K35" s="6">
        <f>K37</f>
        <v>0</v>
      </c>
      <c r="L35" s="6">
        <f>L37</f>
        <v>0</v>
      </c>
      <c r="M35" s="6">
        <f>SUM(H35:L35)</f>
        <v>388.21</v>
      </c>
    </row>
    <row r="36" spans="1:14" ht="17.25" customHeight="1" x14ac:dyDescent="0.25">
      <c r="A36" s="61"/>
      <c r="B36" s="74"/>
      <c r="C36" s="19" t="s">
        <v>15</v>
      </c>
      <c r="D36" s="20"/>
      <c r="E36" s="20"/>
      <c r="F36" s="20"/>
      <c r="G36" s="20"/>
      <c r="H36" s="6"/>
      <c r="I36" s="26"/>
      <c r="J36" s="26"/>
      <c r="K36" s="26"/>
      <c r="L36" s="26"/>
      <c r="M36" s="6"/>
    </row>
    <row r="37" spans="1:14" ht="18" customHeight="1" x14ac:dyDescent="0.25">
      <c r="A37" s="62"/>
      <c r="B37" s="75"/>
      <c r="C37" s="25" t="str">
        <f>C31</f>
        <v>МКУ "СГХ"</v>
      </c>
      <c r="D37" s="20" t="s">
        <v>32</v>
      </c>
      <c r="E37" s="20" t="s">
        <v>47</v>
      </c>
      <c r="F37" s="20" t="s">
        <v>48</v>
      </c>
      <c r="G37" s="20" t="s">
        <v>35</v>
      </c>
      <c r="H37" s="22">
        <f>ROUND(388.212,2)</f>
        <v>388.21</v>
      </c>
      <c r="I37" s="22">
        <v>0</v>
      </c>
      <c r="J37" s="22">
        <v>0</v>
      </c>
      <c r="K37" s="22">
        <v>0</v>
      </c>
      <c r="L37" s="22">
        <v>0</v>
      </c>
      <c r="M37" s="6">
        <f>SUM(H37:L37)</f>
        <v>388.21</v>
      </c>
    </row>
    <row r="38" spans="1:14" ht="30" customHeight="1" x14ac:dyDescent="0.25">
      <c r="A38" s="60" t="s">
        <v>49</v>
      </c>
      <c r="B38" s="76" t="s">
        <v>50</v>
      </c>
      <c r="C38" s="19" t="s">
        <v>13</v>
      </c>
      <c r="D38" s="4" t="s">
        <v>14</v>
      </c>
      <c r="E38" s="4" t="s">
        <v>14</v>
      </c>
      <c r="F38" s="4" t="s">
        <v>14</v>
      </c>
      <c r="G38" s="4" t="s">
        <v>14</v>
      </c>
      <c r="H38" s="27">
        <f>SUM(H40:H48)</f>
        <v>1136.8</v>
      </c>
      <c r="I38" s="27">
        <f>SUM(I40:I48)</f>
        <v>0</v>
      </c>
      <c r="J38" s="27">
        <f>SUM(J40:J48)</f>
        <v>0</v>
      </c>
      <c r="K38" s="27">
        <f>SUM(K40:K48)</f>
        <v>0</v>
      </c>
      <c r="L38" s="27">
        <f>SUM(L40:L48)</f>
        <v>0</v>
      </c>
      <c r="M38" s="6">
        <f>SUM(H38:L38)</f>
        <v>1136.8</v>
      </c>
    </row>
    <row r="39" spans="1:14" ht="16.5" customHeight="1" x14ac:dyDescent="0.25">
      <c r="A39" s="61"/>
      <c r="B39" s="77"/>
      <c r="C39" s="19" t="s">
        <v>15</v>
      </c>
      <c r="D39" s="24"/>
      <c r="E39" s="24"/>
      <c r="F39" s="24"/>
      <c r="G39" s="24"/>
      <c r="H39" s="28"/>
      <c r="I39" s="28"/>
      <c r="J39" s="28"/>
      <c r="K39" s="28"/>
      <c r="L39" s="28"/>
      <c r="M39" s="6"/>
    </row>
    <row r="40" spans="1:14" ht="15.75" customHeight="1" x14ac:dyDescent="0.25">
      <c r="A40" s="61"/>
      <c r="B40" s="77"/>
      <c r="C40" s="25" t="s">
        <v>29</v>
      </c>
      <c r="D40" s="24" t="s">
        <v>18</v>
      </c>
      <c r="E40" s="24" t="s">
        <v>51</v>
      </c>
      <c r="F40" s="24" t="s">
        <v>52</v>
      </c>
      <c r="G40" s="24" t="s">
        <v>35</v>
      </c>
      <c r="H40" s="6">
        <f>ROUND(58.64513,2)</f>
        <v>58.65</v>
      </c>
      <c r="I40" s="6">
        <v>0</v>
      </c>
      <c r="J40" s="6">
        <v>0</v>
      </c>
      <c r="K40" s="6">
        <v>0</v>
      </c>
      <c r="L40" s="6">
        <v>0</v>
      </c>
      <c r="M40" s="6">
        <f>SUM(H40:L40)</f>
        <v>58.65</v>
      </c>
    </row>
    <row r="41" spans="1:14" ht="16.5" customHeight="1" x14ac:dyDescent="0.25">
      <c r="A41" s="61"/>
      <c r="B41" s="77"/>
      <c r="C41" s="25" t="s">
        <v>41</v>
      </c>
      <c r="D41" s="24" t="s">
        <v>16</v>
      </c>
      <c r="E41" s="24" t="s">
        <v>42</v>
      </c>
      <c r="F41" s="24" t="s">
        <v>52</v>
      </c>
      <c r="G41" s="24" t="s">
        <v>53</v>
      </c>
      <c r="H41" s="6">
        <f>+ROUND(58.62784,2)</f>
        <v>58.63</v>
      </c>
      <c r="I41" s="6">
        <v>0</v>
      </c>
      <c r="J41" s="6">
        <v>0</v>
      </c>
      <c r="K41" s="6">
        <v>0</v>
      </c>
      <c r="L41" s="6">
        <v>0</v>
      </c>
      <c r="M41" s="6">
        <f t="shared" ref="M41:M48" si="3">SUM(H41:L41)</f>
        <v>58.63</v>
      </c>
    </row>
    <row r="42" spans="1:14" ht="15" customHeight="1" x14ac:dyDescent="0.25">
      <c r="A42" s="61"/>
      <c r="B42" s="77"/>
      <c r="C42" s="60" t="s">
        <v>54</v>
      </c>
      <c r="D42" s="20" t="s">
        <v>19</v>
      </c>
      <c r="E42" s="20" t="s">
        <v>55</v>
      </c>
      <c r="F42" s="20" t="s">
        <v>52</v>
      </c>
      <c r="G42" s="20" t="s">
        <v>53</v>
      </c>
      <c r="H42" s="6">
        <f>ROUND(117.29026,2)</f>
        <v>117.29</v>
      </c>
      <c r="I42" s="6">
        <v>0</v>
      </c>
      <c r="J42" s="6">
        <v>0</v>
      </c>
      <c r="K42" s="6">
        <v>0</v>
      </c>
      <c r="L42" s="6">
        <v>0</v>
      </c>
      <c r="M42" s="6">
        <f t="shared" si="3"/>
        <v>117.29</v>
      </c>
    </row>
    <row r="43" spans="1:14" ht="15" customHeight="1" x14ac:dyDescent="0.25">
      <c r="A43" s="61"/>
      <c r="B43" s="77"/>
      <c r="C43" s="61"/>
      <c r="D43" s="20" t="s">
        <v>19</v>
      </c>
      <c r="E43" s="20" t="s">
        <v>56</v>
      </c>
      <c r="F43" s="20" t="s">
        <v>52</v>
      </c>
      <c r="G43" s="20" t="s">
        <v>57</v>
      </c>
      <c r="H43" s="6">
        <f>ROUND(117.29026,2)</f>
        <v>117.29</v>
      </c>
      <c r="I43" s="6">
        <v>0</v>
      </c>
      <c r="J43" s="6">
        <v>0</v>
      </c>
      <c r="K43" s="6">
        <v>0</v>
      </c>
      <c r="L43" s="6">
        <v>0</v>
      </c>
      <c r="M43" s="6">
        <f t="shared" si="3"/>
        <v>117.29</v>
      </c>
      <c r="N43" s="72"/>
    </row>
    <row r="44" spans="1:14" ht="14.25" customHeight="1" x14ac:dyDescent="0.25">
      <c r="A44" s="61"/>
      <c r="B44" s="77"/>
      <c r="C44" s="61"/>
      <c r="D44" s="20" t="s">
        <v>19</v>
      </c>
      <c r="E44" s="20" t="s">
        <v>55</v>
      </c>
      <c r="F44" s="20" t="s">
        <v>52</v>
      </c>
      <c r="G44" s="20" t="s">
        <v>57</v>
      </c>
      <c r="H44" s="6">
        <f>ROUND(124.73493,2)</f>
        <v>124.73</v>
      </c>
      <c r="I44" s="6">
        <v>0</v>
      </c>
      <c r="J44" s="6">
        <v>0</v>
      </c>
      <c r="K44" s="6">
        <v>0</v>
      </c>
      <c r="L44" s="6">
        <v>0</v>
      </c>
      <c r="M44" s="6">
        <f t="shared" si="3"/>
        <v>124.73</v>
      </c>
      <c r="N44" s="72"/>
    </row>
    <row r="45" spans="1:14" ht="14.25" customHeight="1" x14ac:dyDescent="0.25">
      <c r="A45" s="61"/>
      <c r="B45" s="77"/>
      <c r="C45" s="62"/>
      <c r="D45" s="20" t="s">
        <v>19</v>
      </c>
      <c r="E45" s="20" t="s">
        <v>58</v>
      </c>
      <c r="F45" s="20" t="s">
        <v>52</v>
      </c>
      <c r="G45" s="20" t="s">
        <v>35</v>
      </c>
      <c r="H45" s="6">
        <f>ROUND(58.64513,2)</f>
        <v>58.65</v>
      </c>
      <c r="I45" s="6">
        <v>0</v>
      </c>
      <c r="J45" s="6">
        <v>0</v>
      </c>
      <c r="K45" s="6">
        <v>0</v>
      </c>
      <c r="L45" s="6">
        <v>0</v>
      </c>
      <c r="M45" s="6">
        <f t="shared" si="3"/>
        <v>58.65</v>
      </c>
      <c r="N45" s="10"/>
    </row>
    <row r="46" spans="1:14" ht="14.25" customHeight="1" x14ac:dyDescent="0.25">
      <c r="A46" s="61"/>
      <c r="B46" s="77"/>
      <c r="C46" s="60" t="s">
        <v>59</v>
      </c>
      <c r="D46" s="29" t="s">
        <v>20</v>
      </c>
      <c r="E46" s="29" t="s">
        <v>56</v>
      </c>
      <c r="F46" s="29" t="s">
        <v>52</v>
      </c>
      <c r="G46" s="20" t="s">
        <v>53</v>
      </c>
      <c r="H46" s="6">
        <f>ROUND(198.0435,2)</f>
        <v>198.04</v>
      </c>
      <c r="I46" s="6">
        <v>0</v>
      </c>
      <c r="J46" s="6">
        <v>0</v>
      </c>
      <c r="K46" s="6">
        <v>0</v>
      </c>
      <c r="L46" s="6">
        <v>0</v>
      </c>
      <c r="M46" s="6">
        <f t="shared" si="3"/>
        <v>198.04</v>
      </c>
      <c r="N46" s="72"/>
    </row>
    <row r="47" spans="1:14" ht="14.25" customHeight="1" x14ac:dyDescent="0.25">
      <c r="A47" s="61"/>
      <c r="B47" s="77"/>
      <c r="C47" s="61"/>
      <c r="D47" s="29" t="s">
        <v>20</v>
      </c>
      <c r="E47" s="29" t="s">
        <v>60</v>
      </c>
      <c r="F47" s="29" t="s">
        <v>52</v>
      </c>
      <c r="G47" s="29" t="s">
        <v>53</v>
      </c>
      <c r="H47" s="6">
        <f>ROUND(95.18213,2)</f>
        <v>95.18</v>
      </c>
      <c r="I47" s="6">
        <v>0</v>
      </c>
      <c r="J47" s="6">
        <v>0</v>
      </c>
      <c r="K47" s="6">
        <v>0</v>
      </c>
      <c r="L47" s="6">
        <v>0</v>
      </c>
      <c r="M47" s="6">
        <f t="shared" si="3"/>
        <v>95.18</v>
      </c>
      <c r="N47" s="72"/>
    </row>
    <row r="48" spans="1:14" ht="15.75" customHeight="1" x14ac:dyDescent="0.25">
      <c r="A48" s="62"/>
      <c r="B48" s="77"/>
      <c r="C48" s="61"/>
      <c r="D48" s="29" t="s">
        <v>20</v>
      </c>
      <c r="E48" s="29" t="s">
        <v>56</v>
      </c>
      <c r="F48" s="29" t="s">
        <v>52</v>
      </c>
      <c r="G48" s="29" t="s">
        <v>57</v>
      </c>
      <c r="H48" s="6">
        <f>ROUND(308.34082,2)</f>
        <v>308.33999999999997</v>
      </c>
      <c r="I48" s="6">
        <v>0</v>
      </c>
      <c r="J48" s="6">
        <v>0</v>
      </c>
      <c r="K48" s="6">
        <v>0</v>
      </c>
      <c r="L48" s="6">
        <v>0</v>
      </c>
      <c r="M48" s="6">
        <f t="shared" si="3"/>
        <v>308.33999999999997</v>
      </c>
    </row>
    <row r="49" spans="1:19" ht="30.75" customHeight="1" x14ac:dyDescent="0.25">
      <c r="A49" s="60" t="s">
        <v>61</v>
      </c>
      <c r="B49" s="76" t="s">
        <v>62</v>
      </c>
      <c r="C49" s="19" t="s">
        <v>13</v>
      </c>
      <c r="D49" s="4" t="s">
        <v>14</v>
      </c>
      <c r="E49" s="4" t="s">
        <v>14</v>
      </c>
      <c r="F49" s="4" t="s">
        <v>14</v>
      </c>
      <c r="G49" s="4" t="s">
        <v>14</v>
      </c>
      <c r="H49" s="6">
        <f>SUM(H51:H52)</f>
        <v>28.83</v>
      </c>
      <c r="I49" s="6">
        <f>SUM(I51:I52)</f>
        <v>0</v>
      </c>
      <c r="J49" s="6">
        <f>SUM(J51:J52)</f>
        <v>0</v>
      </c>
      <c r="K49" s="6">
        <f>SUM(K51:K52)</f>
        <v>0</v>
      </c>
      <c r="L49" s="6">
        <f>SUM(L51:L52)</f>
        <v>0</v>
      </c>
      <c r="M49" s="6">
        <f>SUM(H49:L49)</f>
        <v>28.83</v>
      </c>
    </row>
    <row r="50" spans="1:19" ht="15.75" customHeight="1" x14ac:dyDescent="0.25">
      <c r="A50" s="61"/>
      <c r="B50" s="77"/>
      <c r="C50" s="19" t="s">
        <v>15</v>
      </c>
      <c r="D50" s="20"/>
      <c r="E50" s="20"/>
      <c r="F50" s="20"/>
      <c r="G50" s="20"/>
      <c r="H50" s="6"/>
      <c r="I50" s="6"/>
      <c r="J50" s="6"/>
      <c r="K50" s="6"/>
      <c r="L50" s="6"/>
      <c r="M50" s="6"/>
    </row>
    <row r="51" spans="1:19" ht="23.25" customHeight="1" x14ac:dyDescent="0.25">
      <c r="A51" s="61"/>
      <c r="B51" s="77"/>
      <c r="C51" s="61" t="s">
        <v>21</v>
      </c>
      <c r="D51" s="30" t="s">
        <v>22</v>
      </c>
      <c r="E51" s="30" t="s">
        <v>63</v>
      </c>
      <c r="F51" s="30" t="s">
        <v>64</v>
      </c>
      <c r="G51" s="30" t="s">
        <v>65</v>
      </c>
      <c r="H51" s="22">
        <f>ROUND(28.54145,2)</f>
        <v>28.54</v>
      </c>
      <c r="I51" s="22">
        <v>0</v>
      </c>
      <c r="J51" s="22">
        <v>0</v>
      </c>
      <c r="K51" s="22">
        <v>0</v>
      </c>
      <c r="L51" s="22">
        <v>0</v>
      </c>
      <c r="M51" s="6">
        <f>SUM(H51:L51)</f>
        <v>28.54</v>
      </c>
    </row>
    <row r="52" spans="1:19" ht="21.75" customHeight="1" x14ac:dyDescent="0.25">
      <c r="A52" s="62"/>
      <c r="B52" s="78"/>
      <c r="C52" s="62"/>
      <c r="D52" s="30" t="s">
        <v>22</v>
      </c>
      <c r="E52" s="30" t="s">
        <v>63</v>
      </c>
      <c r="F52" s="30" t="s">
        <v>64</v>
      </c>
      <c r="G52" s="30" t="s">
        <v>35</v>
      </c>
      <c r="H52" s="22">
        <f>ROUND(0.28542,2)</f>
        <v>0.28999999999999998</v>
      </c>
      <c r="I52" s="22">
        <v>0</v>
      </c>
      <c r="J52" s="22">
        <v>0</v>
      </c>
      <c r="K52" s="22">
        <v>0</v>
      </c>
      <c r="L52" s="22">
        <v>0</v>
      </c>
      <c r="M52" s="6">
        <f>SUM(H52:L52)</f>
        <v>0.28999999999999998</v>
      </c>
    </row>
    <row r="53" spans="1:19" s="15" customFormat="1" ht="29.25" customHeight="1" x14ac:dyDescent="0.25">
      <c r="A53" s="79" t="s">
        <v>66</v>
      </c>
      <c r="B53" s="80" t="s">
        <v>67</v>
      </c>
      <c r="C53" s="7" t="s">
        <v>13</v>
      </c>
      <c r="D53" s="7"/>
      <c r="E53" s="8"/>
      <c r="F53" s="8"/>
      <c r="G53" s="8"/>
      <c r="H53" s="9">
        <f>H55+H57+H56</f>
        <v>14085.430000000002</v>
      </c>
      <c r="I53" s="9">
        <f>I55+I57+I56</f>
        <v>20426.300000000003</v>
      </c>
      <c r="J53" s="9">
        <f>J55+J57+J56</f>
        <v>16961.62</v>
      </c>
      <c r="K53" s="9">
        <f>K55+K57+K56</f>
        <v>16961.62</v>
      </c>
      <c r="L53" s="9">
        <f>L55+L57+L56</f>
        <v>16961.62</v>
      </c>
      <c r="M53" s="9">
        <f>SUM(H53:L53)</f>
        <v>85396.59</v>
      </c>
      <c r="N53" s="18"/>
    </row>
    <row r="54" spans="1:19" s="15" customFormat="1" ht="15" customHeight="1" x14ac:dyDescent="0.25">
      <c r="A54" s="79"/>
      <c r="B54" s="80"/>
      <c r="C54" s="7" t="s">
        <v>15</v>
      </c>
      <c r="D54" s="7"/>
      <c r="E54" s="8"/>
      <c r="F54" s="8"/>
      <c r="G54" s="8"/>
      <c r="H54" s="9"/>
      <c r="I54" s="9"/>
      <c r="J54" s="9"/>
      <c r="K54" s="9"/>
      <c r="L54" s="9"/>
      <c r="M54" s="9"/>
      <c r="N54" s="18"/>
    </row>
    <row r="55" spans="1:19" s="15" customFormat="1" ht="14.25" x14ac:dyDescent="0.25">
      <c r="A55" s="79"/>
      <c r="B55" s="80"/>
      <c r="C55" s="7" t="str">
        <f>C80</f>
        <v>МКУ "СГХ"</v>
      </c>
      <c r="D55" s="7"/>
      <c r="E55" s="8"/>
      <c r="F55" s="8"/>
      <c r="G55" s="8"/>
      <c r="H55" s="9">
        <f>H60+H63+H66+H69+H72+H75+H76+H80+H86+H95+H98+H101+H77+H104+H107+H110+H113+H116+H119+H122</f>
        <v>12908.990000000002</v>
      </c>
      <c r="I55" s="9">
        <f>I60+I63+I66+I69+I72+I75+I76+I80+I86+I95+I98+I101+I77+I104+I107+I110+I113+I116+I119+I122</f>
        <v>20326.300000000003</v>
      </c>
      <c r="J55" s="9">
        <f>J60+J63+J66+J69+J72+J75+J76+J80+J86+J95+J98+J101+J77+J104+J107+J110+J113+J116+J119+J122</f>
        <v>16861.62</v>
      </c>
      <c r="K55" s="9">
        <f>K60+K63+K66+K69+K72+K75+K76+K80+K86+K95+K98+K101+K77+K104+K107+K110+K113+K116+K119+K122</f>
        <v>16861.62</v>
      </c>
      <c r="L55" s="9">
        <f>L60+L63+L66+L69+L72+L75+L76+L80+L86+L95+L98+L101+L77+L104+L107+L110+L113+L116+L119+L122</f>
        <v>16861.62</v>
      </c>
      <c r="M55" s="9">
        <f>SUM(H55:L55)</f>
        <v>83820.149999999994</v>
      </c>
      <c r="N55" s="18"/>
      <c r="O55" s="31"/>
    </row>
    <row r="56" spans="1:19" s="15" customFormat="1" ht="29.25" customHeight="1" x14ac:dyDescent="0.25">
      <c r="A56" s="79"/>
      <c r="B56" s="80"/>
      <c r="C56" s="7" t="str">
        <f>C81</f>
        <v>Администрация поселка Горячегорск</v>
      </c>
      <c r="D56" s="7"/>
      <c r="E56" s="8"/>
      <c r="F56" s="8"/>
      <c r="G56" s="8"/>
      <c r="H56" s="9">
        <f>H81</f>
        <v>100</v>
      </c>
      <c r="I56" s="9">
        <f>I81</f>
        <v>100</v>
      </c>
      <c r="J56" s="9">
        <f>J81</f>
        <v>100</v>
      </c>
      <c r="K56" s="9">
        <f>K81</f>
        <v>100</v>
      </c>
      <c r="L56" s="9">
        <f>L81</f>
        <v>100</v>
      </c>
      <c r="M56" s="9">
        <f>SUM(H56:L56)</f>
        <v>500</v>
      </c>
      <c r="N56" s="18"/>
    </row>
    <row r="57" spans="1:19" s="15" customFormat="1" ht="16.5" customHeight="1" x14ac:dyDescent="0.25">
      <c r="A57" s="79"/>
      <c r="B57" s="80"/>
      <c r="C57" s="7" t="str">
        <f>C82</f>
        <v>Администрация города Шарыпово</v>
      </c>
      <c r="D57" s="7"/>
      <c r="E57" s="8"/>
      <c r="F57" s="8"/>
      <c r="G57" s="8"/>
      <c r="H57" s="9">
        <f>H82+H83+H87+H88+H91+H92</f>
        <v>1076.44</v>
      </c>
      <c r="I57" s="9">
        <f>I82+I83+I87+I88+I91+I92</f>
        <v>0</v>
      </c>
      <c r="J57" s="9">
        <f>J82+J83+J87+J88+J91+J92</f>
        <v>0</v>
      </c>
      <c r="K57" s="9">
        <f>K82+K83+K87+K88+K91+K92</f>
        <v>0</v>
      </c>
      <c r="L57" s="9">
        <f>L82+L83+L87+L88+L91+L92</f>
        <v>0</v>
      </c>
      <c r="M57" s="9">
        <f>SUM(H57:L57)</f>
        <v>1076.44</v>
      </c>
      <c r="N57" s="18"/>
      <c r="S57" s="31"/>
    </row>
    <row r="58" spans="1:19" ht="30.75" customHeight="1" x14ac:dyDescent="0.25">
      <c r="A58" s="60" t="s">
        <v>68</v>
      </c>
      <c r="B58" s="73" t="s">
        <v>69</v>
      </c>
      <c r="C58" s="19" t="s">
        <v>13</v>
      </c>
      <c r="D58" s="4" t="s">
        <v>14</v>
      </c>
      <c r="E58" s="4" t="s">
        <v>14</v>
      </c>
      <c r="F58" s="4" t="s">
        <v>14</v>
      </c>
      <c r="G58" s="4" t="s">
        <v>14</v>
      </c>
      <c r="H58" s="6">
        <f>H60</f>
        <v>5324.34</v>
      </c>
      <c r="I58" s="6">
        <f>I60</f>
        <v>6701.25</v>
      </c>
      <c r="J58" s="6">
        <f>J60</f>
        <v>7427.3</v>
      </c>
      <c r="K58" s="6">
        <f>K60</f>
        <v>7427.3</v>
      </c>
      <c r="L58" s="6">
        <f>L60</f>
        <v>7427.3</v>
      </c>
      <c r="M58" s="6">
        <f>SUM(H58:L58)</f>
        <v>34307.49</v>
      </c>
      <c r="N58" s="18"/>
      <c r="Q58" s="12"/>
    </row>
    <row r="59" spans="1:19" x14ac:dyDescent="0.25">
      <c r="A59" s="61"/>
      <c r="B59" s="74"/>
      <c r="C59" s="19" t="s">
        <v>15</v>
      </c>
      <c r="D59" s="4"/>
      <c r="E59" s="4"/>
      <c r="F59" s="4"/>
      <c r="G59" s="4"/>
      <c r="H59" s="6"/>
      <c r="I59" s="6"/>
      <c r="J59" s="6"/>
      <c r="K59" s="6"/>
      <c r="L59" s="6"/>
      <c r="M59" s="6"/>
      <c r="N59" s="18"/>
    </row>
    <row r="60" spans="1:19" ht="30" x14ac:dyDescent="0.25">
      <c r="A60" s="62"/>
      <c r="B60" s="75"/>
      <c r="C60" s="19" t="s">
        <v>28</v>
      </c>
      <c r="D60" s="20" t="s">
        <v>32</v>
      </c>
      <c r="E60" s="20" t="s">
        <v>70</v>
      </c>
      <c r="F60" s="20" t="s">
        <v>71</v>
      </c>
      <c r="G60" s="20" t="s">
        <v>35</v>
      </c>
      <c r="H60" s="27">
        <f>ROUND(5324.336,2)</f>
        <v>5324.34</v>
      </c>
      <c r="I60" s="27">
        <v>6701.25</v>
      </c>
      <c r="J60" s="27">
        <f>ROUND(7427.3,2)</f>
        <v>7427.3</v>
      </c>
      <c r="K60" s="27">
        <f>J60</f>
        <v>7427.3</v>
      </c>
      <c r="L60" s="27">
        <f>K60</f>
        <v>7427.3</v>
      </c>
      <c r="M60" s="6">
        <f>SUM(H60:L60)</f>
        <v>34307.49</v>
      </c>
      <c r="N60" s="18"/>
    </row>
    <row r="61" spans="1:19" ht="30" customHeight="1" x14ac:dyDescent="0.25">
      <c r="A61" s="60" t="s">
        <v>72</v>
      </c>
      <c r="B61" s="73" t="s">
        <v>73</v>
      </c>
      <c r="C61" s="19" t="s">
        <v>13</v>
      </c>
      <c r="D61" s="4" t="s">
        <v>14</v>
      </c>
      <c r="E61" s="4" t="s">
        <v>14</v>
      </c>
      <c r="F61" s="4" t="s">
        <v>14</v>
      </c>
      <c r="G61" s="4" t="s">
        <v>14</v>
      </c>
      <c r="H61" s="6">
        <f>H63</f>
        <v>2310</v>
      </c>
      <c r="I61" s="6">
        <f>I63</f>
        <v>3913.04</v>
      </c>
      <c r="J61" s="6">
        <f>J63</f>
        <v>2816</v>
      </c>
      <c r="K61" s="6">
        <f>K63</f>
        <v>2816</v>
      </c>
      <c r="L61" s="6">
        <f>L63</f>
        <v>2816</v>
      </c>
      <c r="M61" s="6">
        <f>SUM(H61:L61)</f>
        <v>14671.04</v>
      </c>
      <c r="N61" s="18"/>
    </row>
    <row r="62" spans="1:19" x14ac:dyDescent="0.25">
      <c r="A62" s="61"/>
      <c r="B62" s="74"/>
      <c r="C62" s="19" t="s">
        <v>15</v>
      </c>
      <c r="D62" s="4"/>
      <c r="E62" s="4"/>
      <c r="F62" s="4"/>
      <c r="G62" s="4"/>
      <c r="H62" s="6"/>
      <c r="I62" s="6"/>
      <c r="J62" s="6"/>
      <c r="K62" s="6"/>
      <c r="L62" s="6"/>
      <c r="M62" s="6"/>
      <c r="N62" s="18"/>
    </row>
    <row r="63" spans="1:19" ht="30" x14ac:dyDescent="0.25">
      <c r="A63" s="62"/>
      <c r="B63" s="75"/>
      <c r="C63" s="19" t="s">
        <v>28</v>
      </c>
      <c r="D63" s="20" t="s">
        <v>32</v>
      </c>
      <c r="E63" s="20" t="s">
        <v>70</v>
      </c>
      <c r="F63" s="20" t="s">
        <v>74</v>
      </c>
      <c r="G63" s="20" t="s">
        <v>35</v>
      </c>
      <c r="H63" s="27">
        <f>ROUND(2310,2)</f>
        <v>2310</v>
      </c>
      <c r="I63" s="27">
        <v>3913.04</v>
      </c>
      <c r="J63" s="27">
        <f>ROUND(2816,2)</f>
        <v>2816</v>
      </c>
      <c r="K63" s="27">
        <f>J63</f>
        <v>2816</v>
      </c>
      <c r="L63" s="27">
        <f>K63</f>
        <v>2816</v>
      </c>
      <c r="M63" s="6">
        <f>SUM(H63:L63)</f>
        <v>14671.04</v>
      </c>
      <c r="N63" s="18"/>
    </row>
    <row r="64" spans="1:19" ht="31.5" customHeight="1" x14ac:dyDescent="0.25">
      <c r="A64" s="60" t="s">
        <v>75</v>
      </c>
      <c r="B64" s="73" t="s">
        <v>76</v>
      </c>
      <c r="C64" s="19" t="s">
        <v>13</v>
      </c>
      <c r="D64" s="4" t="s">
        <v>14</v>
      </c>
      <c r="E64" s="4" t="s">
        <v>14</v>
      </c>
      <c r="F64" s="4" t="s">
        <v>14</v>
      </c>
      <c r="G64" s="4" t="s">
        <v>14</v>
      </c>
      <c r="H64" s="6">
        <f>H66</f>
        <v>200</v>
      </c>
      <c r="I64" s="6">
        <f>I66</f>
        <v>200</v>
      </c>
      <c r="J64" s="6">
        <f>J66</f>
        <v>200</v>
      </c>
      <c r="K64" s="6">
        <f>K66</f>
        <v>200</v>
      </c>
      <c r="L64" s="6">
        <f>L66</f>
        <v>200</v>
      </c>
      <c r="M64" s="6">
        <f>SUM(H64:L64)</f>
        <v>1000</v>
      </c>
      <c r="N64" s="18"/>
    </row>
    <row r="65" spans="1:14" x14ac:dyDescent="0.25">
      <c r="A65" s="61"/>
      <c r="B65" s="74"/>
      <c r="C65" s="19" t="s">
        <v>15</v>
      </c>
      <c r="D65" s="4"/>
      <c r="E65" s="4"/>
      <c r="F65" s="4"/>
      <c r="G65" s="4"/>
      <c r="H65" s="6"/>
      <c r="I65" s="6"/>
      <c r="J65" s="6"/>
      <c r="K65" s="6"/>
      <c r="L65" s="6"/>
      <c r="M65" s="6"/>
      <c r="N65" s="18"/>
    </row>
    <row r="66" spans="1:14" ht="30" x14ac:dyDescent="0.25">
      <c r="A66" s="61"/>
      <c r="B66" s="74"/>
      <c r="C66" s="19" t="s">
        <v>28</v>
      </c>
      <c r="D66" s="20" t="s">
        <v>32</v>
      </c>
      <c r="E66" s="20" t="s">
        <v>70</v>
      </c>
      <c r="F66" s="20" t="s">
        <v>77</v>
      </c>
      <c r="G66" s="20" t="s">
        <v>35</v>
      </c>
      <c r="H66" s="27">
        <f>ROUND(200,2)</f>
        <v>200</v>
      </c>
      <c r="I66" s="27">
        <f>H66</f>
        <v>200</v>
      </c>
      <c r="J66" s="27">
        <f>I66</f>
        <v>200</v>
      </c>
      <c r="K66" s="27">
        <f>J66</f>
        <v>200</v>
      </c>
      <c r="L66" s="27">
        <f>K66</f>
        <v>200</v>
      </c>
      <c r="M66" s="6">
        <f>SUM(H66:L66)</f>
        <v>1000</v>
      </c>
      <c r="N66" s="18"/>
    </row>
    <row r="67" spans="1:14" ht="30.75" customHeight="1" x14ac:dyDescent="0.25">
      <c r="A67" s="60" t="s">
        <v>78</v>
      </c>
      <c r="B67" s="73" t="s">
        <v>79</v>
      </c>
      <c r="C67" s="19" t="s">
        <v>13</v>
      </c>
      <c r="D67" s="4" t="s">
        <v>14</v>
      </c>
      <c r="E67" s="4" t="s">
        <v>14</v>
      </c>
      <c r="F67" s="4" t="s">
        <v>14</v>
      </c>
      <c r="G67" s="4" t="s">
        <v>14</v>
      </c>
      <c r="H67" s="6">
        <f>H69</f>
        <v>539.69000000000005</v>
      </c>
      <c r="I67" s="6">
        <f>I69</f>
        <v>700</v>
      </c>
      <c r="J67" s="6">
        <f>J69</f>
        <v>500</v>
      </c>
      <c r="K67" s="6">
        <f>K69</f>
        <v>500</v>
      </c>
      <c r="L67" s="6">
        <f>L69</f>
        <v>500</v>
      </c>
      <c r="M67" s="6">
        <f>SUM(H67:L67)</f>
        <v>2739.69</v>
      </c>
      <c r="N67" s="18"/>
    </row>
    <row r="68" spans="1:14" x14ac:dyDescent="0.25">
      <c r="A68" s="61"/>
      <c r="B68" s="74"/>
      <c r="C68" s="19" t="s">
        <v>15</v>
      </c>
      <c r="D68" s="4"/>
      <c r="E68" s="4"/>
      <c r="F68" s="4"/>
      <c r="G68" s="4"/>
      <c r="H68" s="6"/>
      <c r="I68" s="6"/>
      <c r="J68" s="6"/>
      <c r="K68" s="6"/>
      <c r="L68" s="6"/>
      <c r="M68" s="6"/>
      <c r="N68" s="18"/>
    </row>
    <row r="69" spans="1:14" ht="35.25" customHeight="1" x14ac:dyDescent="0.25">
      <c r="A69" s="61"/>
      <c r="B69" s="74"/>
      <c r="C69" s="19" t="str">
        <f>C66</f>
        <v>МКУ "СГХ"</v>
      </c>
      <c r="D69" s="20" t="s">
        <v>32</v>
      </c>
      <c r="E69" s="20" t="s">
        <v>70</v>
      </c>
      <c r="F69" s="20" t="s">
        <v>80</v>
      </c>
      <c r="G69" s="20" t="s">
        <v>35</v>
      </c>
      <c r="H69" s="27">
        <f>ROUND(500+39.688,2)</f>
        <v>539.69000000000005</v>
      </c>
      <c r="I69" s="27">
        <f>ROUND(500+200,2)</f>
        <v>700</v>
      </c>
      <c r="J69" s="27">
        <v>500</v>
      </c>
      <c r="K69" s="27">
        <f>J69</f>
        <v>500</v>
      </c>
      <c r="L69" s="27">
        <f>K69</f>
        <v>500</v>
      </c>
      <c r="M69" s="6">
        <f>SUM(H69:L69)</f>
        <v>2739.69</v>
      </c>
      <c r="N69" s="18"/>
    </row>
    <row r="70" spans="1:14" ht="42" customHeight="1" x14ac:dyDescent="0.25">
      <c r="A70" s="60" t="s">
        <v>81</v>
      </c>
      <c r="B70" s="73" t="s">
        <v>82</v>
      </c>
      <c r="C70" s="19" t="s">
        <v>13</v>
      </c>
      <c r="D70" s="4" t="s">
        <v>14</v>
      </c>
      <c r="E70" s="4" t="s">
        <v>14</v>
      </c>
      <c r="F70" s="4" t="s">
        <v>14</v>
      </c>
      <c r="G70" s="4" t="s">
        <v>14</v>
      </c>
      <c r="H70" s="6">
        <f>H72</f>
        <v>21</v>
      </c>
      <c r="I70" s="6">
        <f>I72</f>
        <v>21</v>
      </c>
      <c r="J70" s="6">
        <f>J72</f>
        <v>21</v>
      </c>
      <c r="K70" s="6">
        <f>K72</f>
        <v>21</v>
      </c>
      <c r="L70" s="6">
        <f>L72</f>
        <v>21</v>
      </c>
      <c r="M70" s="6">
        <f>SUM(H70:L70)</f>
        <v>105</v>
      </c>
      <c r="N70" s="18"/>
    </row>
    <row r="71" spans="1:14" x14ac:dyDescent="0.25">
      <c r="A71" s="61"/>
      <c r="B71" s="74"/>
      <c r="C71" s="19" t="s">
        <v>15</v>
      </c>
      <c r="D71" s="4"/>
      <c r="E71" s="4"/>
      <c r="F71" s="4"/>
      <c r="G71" s="4"/>
      <c r="H71" s="6"/>
      <c r="I71" s="6"/>
      <c r="J71" s="6"/>
      <c r="K71" s="6"/>
      <c r="L71" s="6"/>
      <c r="M71" s="6"/>
      <c r="N71" s="18"/>
    </row>
    <row r="72" spans="1:14" ht="39" customHeight="1" x14ac:dyDescent="0.25">
      <c r="A72" s="61"/>
      <c r="B72" s="74"/>
      <c r="C72" s="19" t="str">
        <f>C69</f>
        <v>МКУ "СГХ"</v>
      </c>
      <c r="D72" s="20" t="s">
        <v>32</v>
      </c>
      <c r="E72" s="20" t="s">
        <v>70</v>
      </c>
      <c r="F72" s="20" t="s">
        <v>83</v>
      </c>
      <c r="G72" s="20" t="s">
        <v>35</v>
      </c>
      <c r="H72" s="27">
        <f>ROUND(21,2)</f>
        <v>21</v>
      </c>
      <c r="I72" s="27">
        <f>H72</f>
        <v>21</v>
      </c>
      <c r="J72" s="27">
        <f>I72</f>
        <v>21</v>
      </c>
      <c r="K72" s="27">
        <f>J72</f>
        <v>21</v>
      </c>
      <c r="L72" s="27">
        <f>K72</f>
        <v>21</v>
      </c>
      <c r="M72" s="6">
        <f>SUM(H72:L72)</f>
        <v>105</v>
      </c>
      <c r="N72" s="18"/>
    </row>
    <row r="73" spans="1:14" ht="27.75" customHeight="1" x14ac:dyDescent="0.25">
      <c r="A73" s="60" t="s">
        <v>84</v>
      </c>
      <c r="B73" s="73" t="s">
        <v>85</v>
      </c>
      <c r="C73" s="19" t="s">
        <v>13</v>
      </c>
      <c r="D73" s="4" t="s">
        <v>14</v>
      </c>
      <c r="E73" s="4" t="s">
        <v>14</v>
      </c>
      <c r="F73" s="4" t="s">
        <v>14</v>
      </c>
      <c r="G73" s="4" t="s">
        <v>14</v>
      </c>
      <c r="H73" s="6">
        <f>H75+H76+H77</f>
        <v>2747.47</v>
      </c>
      <c r="I73" s="6">
        <f>I75+I76+I77</f>
        <v>3232</v>
      </c>
      <c r="J73" s="6">
        <f>J75+J76+J77</f>
        <v>2717.41</v>
      </c>
      <c r="K73" s="6">
        <f>K75+K76+K77</f>
        <v>2717.41</v>
      </c>
      <c r="L73" s="6">
        <f>L75+L76+L77</f>
        <v>2717.41</v>
      </c>
      <c r="M73" s="6">
        <f>SUM(H73:L73)</f>
        <v>14131.699999999999</v>
      </c>
      <c r="N73" s="18"/>
    </row>
    <row r="74" spans="1:14" x14ac:dyDescent="0.25">
      <c r="A74" s="61"/>
      <c r="B74" s="74"/>
      <c r="C74" s="19" t="s">
        <v>15</v>
      </c>
      <c r="D74" s="4"/>
      <c r="E74" s="4"/>
      <c r="F74" s="4"/>
      <c r="G74" s="4"/>
      <c r="H74" s="6"/>
      <c r="I74" s="6"/>
      <c r="J74" s="6"/>
      <c r="K74" s="6"/>
      <c r="L74" s="6"/>
      <c r="M74" s="6"/>
      <c r="N74" s="18"/>
    </row>
    <row r="75" spans="1:14" ht="30" x14ac:dyDescent="0.25">
      <c r="A75" s="61"/>
      <c r="B75" s="74"/>
      <c r="C75" s="60" t="s">
        <v>28</v>
      </c>
      <c r="D75" s="20" t="s">
        <v>32</v>
      </c>
      <c r="E75" s="20" t="s">
        <v>70</v>
      </c>
      <c r="F75" s="20" t="s">
        <v>86</v>
      </c>
      <c r="G75" s="20" t="s">
        <v>35</v>
      </c>
      <c r="H75" s="27">
        <f>ROUND(277.354,2)</f>
        <v>277.35000000000002</v>
      </c>
      <c r="I75" s="27">
        <v>764.59</v>
      </c>
      <c r="J75" s="27">
        <f>ROUND(2717.407,2)</f>
        <v>2717.41</v>
      </c>
      <c r="K75" s="27">
        <f t="shared" ref="K75:L77" si="4">J75</f>
        <v>2717.41</v>
      </c>
      <c r="L75" s="27">
        <f t="shared" si="4"/>
        <v>2717.41</v>
      </c>
      <c r="M75" s="6">
        <f>SUM(H75:L75)</f>
        <v>9194.17</v>
      </c>
      <c r="N75" s="18"/>
    </row>
    <row r="76" spans="1:14" x14ac:dyDescent="0.25">
      <c r="A76" s="61"/>
      <c r="B76" s="74"/>
      <c r="C76" s="61"/>
      <c r="D76" s="20" t="s">
        <v>32</v>
      </c>
      <c r="E76" s="20" t="s">
        <v>70</v>
      </c>
      <c r="F76" s="20" t="s">
        <v>87</v>
      </c>
      <c r="G76" s="20" t="s">
        <v>35</v>
      </c>
      <c r="H76" s="27">
        <f>ROUND(2470.11866,2)</f>
        <v>2470.12</v>
      </c>
      <c r="I76" s="27">
        <v>0</v>
      </c>
      <c r="J76" s="27">
        <f>I76</f>
        <v>0</v>
      </c>
      <c r="K76" s="27">
        <f t="shared" si="4"/>
        <v>0</v>
      </c>
      <c r="L76" s="27">
        <f t="shared" si="4"/>
        <v>0</v>
      </c>
      <c r="M76" s="6">
        <f>SUM(H76:L76)</f>
        <v>2470.12</v>
      </c>
      <c r="N76" s="18"/>
    </row>
    <row r="77" spans="1:14" x14ac:dyDescent="0.25">
      <c r="A77" s="62"/>
      <c r="B77" s="75"/>
      <c r="C77" s="62"/>
      <c r="D77" s="20" t="s">
        <v>32</v>
      </c>
      <c r="E77" s="20" t="s">
        <v>70</v>
      </c>
      <c r="F77" s="20" t="s">
        <v>88</v>
      </c>
      <c r="G77" s="20" t="s">
        <v>35</v>
      </c>
      <c r="H77" s="27">
        <v>0</v>
      </c>
      <c r="I77" s="27">
        <f>ROUND(2467.407,2)</f>
        <v>2467.41</v>
      </c>
      <c r="J77" s="27">
        <v>0</v>
      </c>
      <c r="K77" s="27">
        <f t="shared" si="4"/>
        <v>0</v>
      </c>
      <c r="L77" s="27">
        <f t="shared" si="4"/>
        <v>0</v>
      </c>
      <c r="M77" s="6">
        <f>SUM(H77:L77)</f>
        <v>2467.41</v>
      </c>
      <c r="N77" s="18"/>
    </row>
    <row r="78" spans="1:14" ht="29.25" customHeight="1" x14ac:dyDescent="0.25">
      <c r="A78" s="60" t="s">
        <v>89</v>
      </c>
      <c r="B78" s="73" t="s">
        <v>90</v>
      </c>
      <c r="C78" s="19" t="s">
        <v>13</v>
      </c>
      <c r="D78" s="4" t="s">
        <v>14</v>
      </c>
      <c r="E78" s="4" t="s">
        <v>14</v>
      </c>
      <c r="F78" s="4" t="s">
        <v>14</v>
      </c>
      <c r="G78" s="4" t="s">
        <v>14</v>
      </c>
      <c r="H78" s="6">
        <f>H83++H82+H81+H80</f>
        <v>845.19</v>
      </c>
      <c r="I78" s="6">
        <f>I83++I82+I81+I80</f>
        <v>500</v>
      </c>
      <c r="J78" s="6">
        <f>J83++J82+J81+J80</f>
        <v>821.51</v>
      </c>
      <c r="K78" s="6">
        <f>K83++K82+K81+K80</f>
        <v>821.51</v>
      </c>
      <c r="L78" s="6">
        <f>L83++L82+L81+L80</f>
        <v>821.51</v>
      </c>
      <c r="M78" s="6">
        <f>SUM(H78:L78)</f>
        <v>3809.7200000000003</v>
      </c>
      <c r="N78" s="18"/>
    </row>
    <row r="79" spans="1:14" x14ac:dyDescent="0.25">
      <c r="A79" s="61"/>
      <c r="B79" s="74"/>
      <c r="C79" s="19" t="s">
        <v>15</v>
      </c>
      <c r="D79" s="4"/>
      <c r="E79" s="4"/>
      <c r="F79" s="4"/>
      <c r="G79" s="4"/>
      <c r="H79" s="6"/>
      <c r="I79" s="6"/>
      <c r="J79" s="6"/>
      <c r="K79" s="6"/>
      <c r="L79" s="6"/>
      <c r="M79" s="6"/>
      <c r="N79" s="18"/>
    </row>
    <row r="80" spans="1:14" ht="39" customHeight="1" x14ac:dyDescent="0.25">
      <c r="A80" s="61"/>
      <c r="B80" s="74"/>
      <c r="C80" s="19" t="str">
        <f>C75</f>
        <v>МКУ "СГХ"</v>
      </c>
      <c r="D80" s="20" t="s">
        <v>32</v>
      </c>
      <c r="E80" s="20" t="s">
        <v>70</v>
      </c>
      <c r="F80" s="20" t="s">
        <v>91</v>
      </c>
      <c r="G80" s="20" t="s">
        <v>35</v>
      </c>
      <c r="H80" s="27">
        <f>ROUND(549,2)</f>
        <v>549</v>
      </c>
      <c r="I80" s="27">
        <f>ROUND(721.509-36.2418-285.2672,2)</f>
        <v>400</v>
      </c>
      <c r="J80" s="27">
        <f>ROUND(721.509,2)</f>
        <v>721.51</v>
      </c>
      <c r="K80" s="27">
        <f>J80</f>
        <v>721.51</v>
      </c>
      <c r="L80" s="27">
        <f>K80</f>
        <v>721.51</v>
      </c>
      <c r="M80" s="6">
        <f>SUM(H80:L80)</f>
        <v>3113.5299999999997</v>
      </c>
      <c r="N80" s="18"/>
    </row>
    <row r="81" spans="1:17" ht="35.25" customHeight="1" x14ac:dyDescent="0.25">
      <c r="A81" s="61"/>
      <c r="B81" s="74"/>
      <c r="C81" s="25" t="s">
        <v>92</v>
      </c>
      <c r="D81" s="20" t="s">
        <v>17</v>
      </c>
      <c r="E81" s="20" t="s">
        <v>70</v>
      </c>
      <c r="F81" s="20" t="s">
        <v>91</v>
      </c>
      <c r="G81" s="20" t="s">
        <v>35</v>
      </c>
      <c r="H81" s="27">
        <f>ROUND(33.85349+66.14651,2)</f>
        <v>100</v>
      </c>
      <c r="I81" s="27">
        <f>ROUND(100,2)</f>
        <v>100</v>
      </c>
      <c r="J81" s="27">
        <f>I81</f>
        <v>100</v>
      </c>
      <c r="K81" s="27">
        <f>J81</f>
        <v>100</v>
      </c>
      <c r="L81" s="27">
        <f>K81</f>
        <v>100</v>
      </c>
      <c r="M81" s="6">
        <f>SUM(H81:L81)</f>
        <v>500</v>
      </c>
      <c r="N81" s="18"/>
    </row>
    <row r="82" spans="1:17" ht="16.5" customHeight="1" x14ac:dyDescent="0.25">
      <c r="A82" s="61"/>
      <c r="B82" s="74"/>
      <c r="C82" s="60" t="str">
        <f>C87</f>
        <v>Администрация города Шарыпово</v>
      </c>
      <c r="D82" s="20" t="s">
        <v>16</v>
      </c>
      <c r="E82" s="20" t="s">
        <v>42</v>
      </c>
      <c r="F82" s="20" t="s">
        <v>93</v>
      </c>
      <c r="G82" s="20" t="s">
        <v>44</v>
      </c>
      <c r="H82" s="27">
        <f>ROUND(170,2)</f>
        <v>170</v>
      </c>
      <c r="I82" s="27">
        <v>0</v>
      </c>
      <c r="J82" s="6">
        <v>0</v>
      </c>
      <c r="K82" s="6">
        <v>0</v>
      </c>
      <c r="L82" s="6">
        <v>0</v>
      </c>
      <c r="M82" s="6">
        <f>SUM(H82:L82)</f>
        <v>170</v>
      </c>
      <c r="N82" s="18"/>
    </row>
    <row r="83" spans="1:17" ht="15.75" customHeight="1" x14ac:dyDescent="0.25">
      <c r="A83" s="62"/>
      <c r="B83" s="75"/>
      <c r="C83" s="62"/>
      <c r="D83" s="20" t="s">
        <v>16</v>
      </c>
      <c r="E83" s="20" t="s">
        <v>42</v>
      </c>
      <c r="F83" s="20" t="s">
        <v>93</v>
      </c>
      <c r="G83" s="20" t="s">
        <v>53</v>
      </c>
      <c r="H83" s="27">
        <f>ROUND(26.192,2)</f>
        <v>26.19</v>
      </c>
      <c r="I83" s="27">
        <v>0</v>
      </c>
      <c r="J83" s="6">
        <v>0</v>
      </c>
      <c r="K83" s="6">
        <v>0</v>
      </c>
      <c r="L83" s="6">
        <v>0</v>
      </c>
      <c r="M83" s="6">
        <f>SUM(H83:L83)</f>
        <v>26.19</v>
      </c>
      <c r="N83" s="18"/>
    </row>
    <row r="84" spans="1:17" ht="29.25" customHeight="1" x14ac:dyDescent="0.25">
      <c r="A84" s="60" t="s">
        <v>94</v>
      </c>
      <c r="B84" s="73" t="s">
        <v>95</v>
      </c>
      <c r="C84" s="19" t="s">
        <v>13</v>
      </c>
      <c r="D84" s="4" t="s">
        <v>14</v>
      </c>
      <c r="E84" s="4" t="s">
        <v>14</v>
      </c>
      <c r="F84" s="4" t="s">
        <v>14</v>
      </c>
      <c r="G84" s="4" t="s">
        <v>14</v>
      </c>
      <c r="H84" s="6">
        <f>H86+H87+H88</f>
        <v>620.72</v>
      </c>
      <c r="I84" s="6">
        <f>I86+I87+I88</f>
        <v>1408.29</v>
      </c>
      <c r="J84" s="6">
        <f>J86+J87+J88</f>
        <v>1408.4</v>
      </c>
      <c r="K84" s="6">
        <f>K86+K87+K88</f>
        <v>1408.4</v>
      </c>
      <c r="L84" s="6">
        <f>L86+L87+L88</f>
        <v>1408.4</v>
      </c>
      <c r="M84" s="6">
        <f>SUM(H84:L84)</f>
        <v>6254.2099999999991</v>
      </c>
      <c r="N84" s="18"/>
    </row>
    <row r="85" spans="1:17" x14ac:dyDescent="0.25">
      <c r="A85" s="61"/>
      <c r="B85" s="74"/>
      <c r="C85" s="19" t="s">
        <v>15</v>
      </c>
      <c r="D85" s="4"/>
      <c r="E85" s="4"/>
      <c r="F85" s="4"/>
      <c r="G85" s="4"/>
      <c r="H85" s="6"/>
      <c r="I85" s="6"/>
      <c r="J85" s="6"/>
      <c r="K85" s="6"/>
      <c r="L85" s="6"/>
      <c r="M85" s="6"/>
      <c r="N85" s="18"/>
    </row>
    <row r="86" spans="1:17" ht="30" x14ac:dyDescent="0.25">
      <c r="A86" s="61"/>
      <c r="B86" s="74"/>
      <c r="C86" s="19" t="str">
        <f>C80</f>
        <v>МКУ "СГХ"</v>
      </c>
      <c r="D86" s="20" t="s">
        <v>32</v>
      </c>
      <c r="E86" s="20" t="s">
        <v>70</v>
      </c>
      <c r="F86" s="20" t="s">
        <v>96</v>
      </c>
      <c r="G86" s="20" t="s">
        <v>35</v>
      </c>
      <c r="H86" s="27">
        <f>ROUND(148.288,2)-48.5</f>
        <v>99.789999999999992</v>
      </c>
      <c r="I86" s="27">
        <f>ROUND(1408.288,2)</f>
        <v>1408.29</v>
      </c>
      <c r="J86" s="27">
        <f>ROUND(665+743.4,2)</f>
        <v>1408.4</v>
      </c>
      <c r="K86" s="27">
        <f>J86</f>
        <v>1408.4</v>
      </c>
      <c r="L86" s="27">
        <f>K86</f>
        <v>1408.4</v>
      </c>
      <c r="M86" s="6">
        <f>SUM(H86:L86)</f>
        <v>5733.2800000000007</v>
      </c>
      <c r="N86" s="18"/>
    </row>
    <row r="87" spans="1:17" ht="15.75" customHeight="1" x14ac:dyDescent="0.25">
      <c r="A87" s="61"/>
      <c r="B87" s="74"/>
      <c r="C87" s="60" t="str">
        <f>C91</f>
        <v>Администрация города Шарыпово</v>
      </c>
      <c r="D87" s="20" t="s">
        <v>16</v>
      </c>
      <c r="E87" s="20" t="s">
        <v>42</v>
      </c>
      <c r="F87" s="20" t="s">
        <v>97</v>
      </c>
      <c r="G87" s="20" t="s">
        <v>44</v>
      </c>
      <c r="H87" s="27">
        <f>ROUND(454.9356,2)</f>
        <v>454.94</v>
      </c>
      <c r="I87" s="27">
        <v>0</v>
      </c>
      <c r="J87" s="6">
        <v>0</v>
      </c>
      <c r="K87" s="6">
        <v>0</v>
      </c>
      <c r="L87" s="6">
        <v>0</v>
      </c>
      <c r="M87" s="6">
        <f>SUM(H87:L87)</f>
        <v>454.94</v>
      </c>
      <c r="N87" s="18"/>
    </row>
    <row r="88" spans="1:17" ht="15" customHeight="1" x14ac:dyDescent="0.25">
      <c r="A88" s="62"/>
      <c r="B88" s="75"/>
      <c r="C88" s="62"/>
      <c r="D88" s="20" t="s">
        <v>16</v>
      </c>
      <c r="E88" s="20" t="s">
        <v>42</v>
      </c>
      <c r="F88" s="20" t="s">
        <v>97</v>
      </c>
      <c r="G88" s="20" t="s">
        <v>53</v>
      </c>
      <c r="H88" s="27">
        <f>ROUND(65.99,2)</f>
        <v>65.989999999999995</v>
      </c>
      <c r="I88" s="27">
        <v>0</v>
      </c>
      <c r="J88" s="6">
        <v>0</v>
      </c>
      <c r="K88" s="6">
        <v>0</v>
      </c>
      <c r="L88" s="6">
        <v>0</v>
      </c>
      <c r="M88" s="6">
        <f>SUM(H88:L88)</f>
        <v>65.989999999999995</v>
      </c>
      <c r="N88" s="18"/>
    </row>
    <row r="89" spans="1:17" ht="27.75" customHeight="1" x14ac:dyDescent="0.25">
      <c r="A89" s="60" t="s">
        <v>98</v>
      </c>
      <c r="B89" s="73" t="s">
        <v>99</v>
      </c>
      <c r="C89" s="19" t="s">
        <v>13</v>
      </c>
      <c r="D89" s="4" t="s">
        <v>14</v>
      </c>
      <c r="E89" s="4" t="s">
        <v>14</v>
      </c>
      <c r="F89" s="4" t="s">
        <v>14</v>
      </c>
      <c r="G89" s="4" t="s">
        <v>14</v>
      </c>
      <c r="H89" s="6">
        <f>H92+H91</f>
        <v>359.32</v>
      </c>
      <c r="I89" s="6">
        <f>I92+I91</f>
        <v>0</v>
      </c>
      <c r="J89" s="6">
        <f>J92+J91</f>
        <v>0</v>
      </c>
      <c r="K89" s="6">
        <f>K92+K91</f>
        <v>0</v>
      </c>
      <c r="L89" s="6">
        <f>L92+L91</f>
        <v>0</v>
      </c>
      <c r="M89" s="6">
        <f>SUM(H89:L89)</f>
        <v>359.32</v>
      </c>
      <c r="N89" s="18"/>
    </row>
    <row r="90" spans="1:17" x14ac:dyDescent="0.25">
      <c r="A90" s="61"/>
      <c r="B90" s="74"/>
      <c r="C90" s="19" t="s">
        <v>15</v>
      </c>
      <c r="D90" s="4"/>
      <c r="E90" s="4"/>
      <c r="F90" s="4"/>
      <c r="G90" s="4"/>
      <c r="H90" s="6"/>
      <c r="I90" s="6"/>
      <c r="J90" s="6"/>
      <c r="K90" s="6"/>
      <c r="L90" s="6"/>
      <c r="M90" s="6"/>
      <c r="N90" s="18"/>
    </row>
    <row r="91" spans="1:17" ht="18.75" customHeight="1" x14ac:dyDescent="0.25">
      <c r="A91" s="61"/>
      <c r="B91" s="74"/>
      <c r="C91" s="60" t="s">
        <v>41</v>
      </c>
      <c r="D91" s="20" t="s">
        <v>16</v>
      </c>
      <c r="E91" s="20" t="s">
        <v>42</v>
      </c>
      <c r="F91" s="20" t="s">
        <v>100</v>
      </c>
      <c r="G91" s="20" t="s">
        <v>44</v>
      </c>
      <c r="H91" s="27">
        <f>ROUND(267.5044,2)</f>
        <v>267.5</v>
      </c>
      <c r="I91" s="27">
        <v>0</v>
      </c>
      <c r="J91" s="6">
        <v>0</v>
      </c>
      <c r="K91" s="6">
        <v>0</v>
      </c>
      <c r="L91" s="6">
        <v>0</v>
      </c>
      <c r="M91" s="6">
        <f>SUM(H91:L91)</f>
        <v>267.5</v>
      </c>
      <c r="N91" s="18"/>
    </row>
    <row r="92" spans="1:17" ht="15" customHeight="1" x14ac:dyDescent="0.25">
      <c r="A92" s="62"/>
      <c r="B92" s="75"/>
      <c r="C92" s="62"/>
      <c r="D92" s="20" t="s">
        <v>16</v>
      </c>
      <c r="E92" s="20" t="s">
        <v>42</v>
      </c>
      <c r="F92" s="20" t="s">
        <v>100</v>
      </c>
      <c r="G92" s="20" t="s">
        <v>53</v>
      </c>
      <c r="H92" s="27">
        <f>ROUND(91.818,2)</f>
        <v>91.82</v>
      </c>
      <c r="I92" s="27">
        <v>0</v>
      </c>
      <c r="J92" s="6">
        <v>0</v>
      </c>
      <c r="K92" s="6">
        <v>0</v>
      </c>
      <c r="L92" s="6">
        <v>0</v>
      </c>
      <c r="M92" s="6">
        <f>SUM(H92:L92)</f>
        <v>91.82</v>
      </c>
      <c r="N92" s="18"/>
    </row>
    <row r="93" spans="1:17" ht="30" customHeight="1" x14ac:dyDescent="0.25">
      <c r="A93" s="60" t="s">
        <v>101</v>
      </c>
      <c r="B93" s="73" t="s">
        <v>102</v>
      </c>
      <c r="C93" s="19" t="s">
        <v>13</v>
      </c>
      <c r="D93" s="4" t="s">
        <v>14</v>
      </c>
      <c r="E93" s="4" t="s">
        <v>14</v>
      </c>
      <c r="F93" s="4" t="s">
        <v>14</v>
      </c>
      <c r="G93" s="4" t="s">
        <v>14</v>
      </c>
      <c r="H93" s="6">
        <f>H95</f>
        <v>117.7</v>
      </c>
      <c r="I93" s="6">
        <f>I95</f>
        <v>0</v>
      </c>
      <c r="J93" s="6">
        <f>J95</f>
        <v>0</v>
      </c>
      <c r="K93" s="6">
        <f>K95</f>
        <v>0</v>
      </c>
      <c r="L93" s="6">
        <f>L95</f>
        <v>0</v>
      </c>
      <c r="M93" s="6">
        <f>SUM(H93:L93)</f>
        <v>117.7</v>
      </c>
      <c r="N93" s="18"/>
      <c r="Q93" s="12"/>
    </row>
    <row r="94" spans="1:17" x14ac:dyDescent="0.25">
      <c r="A94" s="61"/>
      <c r="B94" s="74"/>
      <c r="C94" s="19" t="s">
        <v>15</v>
      </c>
      <c r="D94" s="4"/>
      <c r="E94" s="4"/>
      <c r="F94" s="4"/>
      <c r="G94" s="4"/>
      <c r="H94" s="6"/>
      <c r="I94" s="6"/>
      <c r="J94" s="6"/>
      <c r="K94" s="6"/>
      <c r="L94" s="6"/>
      <c r="M94" s="6"/>
      <c r="N94" s="18"/>
    </row>
    <row r="95" spans="1:17" x14ac:dyDescent="0.25">
      <c r="A95" s="62"/>
      <c r="B95" s="75"/>
      <c r="C95" s="27" t="s">
        <v>28</v>
      </c>
      <c r="D95" s="20" t="s">
        <v>32</v>
      </c>
      <c r="E95" s="20" t="s">
        <v>70</v>
      </c>
      <c r="F95" s="20" t="s">
        <v>103</v>
      </c>
      <c r="G95" s="20" t="s">
        <v>35</v>
      </c>
      <c r="H95" s="27">
        <v>117.7</v>
      </c>
      <c r="I95" s="27">
        <v>0</v>
      </c>
      <c r="J95" s="27">
        <f>I95</f>
        <v>0</v>
      </c>
      <c r="K95" s="27">
        <f>J95</f>
        <v>0</v>
      </c>
      <c r="L95" s="27">
        <f>K95</f>
        <v>0</v>
      </c>
      <c r="M95" s="6">
        <f>SUM(H95:L95)</f>
        <v>117.7</v>
      </c>
      <c r="N95" s="18"/>
    </row>
    <row r="96" spans="1:17" ht="30" customHeight="1" x14ac:dyDescent="0.25">
      <c r="A96" s="60" t="s">
        <v>104</v>
      </c>
      <c r="B96" s="73" t="s">
        <v>105</v>
      </c>
      <c r="C96" s="19" t="s">
        <v>13</v>
      </c>
      <c r="D96" s="4" t="s">
        <v>14</v>
      </c>
      <c r="E96" s="4" t="s">
        <v>14</v>
      </c>
      <c r="F96" s="4" t="s">
        <v>14</v>
      </c>
      <c r="G96" s="4" t="s">
        <v>14</v>
      </c>
      <c r="H96" s="27">
        <f>H98</f>
        <v>1000</v>
      </c>
      <c r="I96" s="27">
        <f>I98</f>
        <v>1075</v>
      </c>
      <c r="J96" s="27">
        <f>J98</f>
        <v>0</v>
      </c>
      <c r="K96" s="27">
        <f>K98</f>
        <v>0</v>
      </c>
      <c r="L96" s="27">
        <f>L98</f>
        <v>0</v>
      </c>
      <c r="M96" s="6">
        <f>SUM(H96:L96)</f>
        <v>2075</v>
      </c>
      <c r="N96" s="18"/>
    </row>
    <row r="97" spans="1:14" x14ac:dyDescent="0.25">
      <c r="A97" s="61"/>
      <c r="B97" s="74"/>
      <c r="C97" s="19" t="s">
        <v>15</v>
      </c>
      <c r="D97" s="20"/>
      <c r="E97" s="20"/>
      <c r="F97" s="20"/>
      <c r="G97" s="20"/>
      <c r="H97" s="27"/>
      <c r="I97" s="6"/>
      <c r="J97" s="6"/>
      <c r="K97" s="6"/>
      <c r="L97" s="6"/>
      <c r="M97" s="6"/>
      <c r="N97" s="18"/>
    </row>
    <row r="98" spans="1:14" x14ac:dyDescent="0.25">
      <c r="A98" s="62"/>
      <c r="B98" s="75"/>
      <c r="C98" s="27" t="s">
        <v>28</v>
      </c>
      <c r="D98" s="20" t="s">
        <v>32</v>
      </c>
      <c r="E98" s="20" t="s">
        <v>70</v>
      </c>
      <c r="F98" s="20" t="s">
        <v>106</v>
      </c>
      <c r="G98" s="20" t="s">
        <v>35</v>
      </c>
      <c r="H98" s="27">
        <v>1000</v>
      </c>
      <c r="I98" s="27">
        <v>1075</v>
      </c>
      <c r="J98" s="6">
        <v>0</v>
      </c>
      <c r="K98" s="6">
        <v>0</v>
      </c>
      <c r="L98" s="6">
        <v>0</v>
      </c>
      <c r="M98" s="6">
        <f>SUM(H98:L98)</f>
        <v>2075</v>
      </c>
      <c r="N98" s="18"/>
    </row>
    <row r="99" spans="1:14" ht="30" customHeight="1" x14ac:dyDescent="0.25">
      <c r="A99" s="60" t="s">
        <v>107</v>
      </c>
      <c r="B99" s="73" t="s">
        <v>108</v>
      </c>
      <c r="C99" s="19" t="s">
        <v>13</v>
      </c>
      <c r="D99" s="4" t="s">
        <v>14</v>
      </c>
      <c r="E99" s="4" t="s">
        <v>14</v>
      </c>
      <c r="F99" s="4" t="s">
        <v>14</v>
      </c>
      <c r="G99" s="4" t="s">
        <v>14</v>
      </c>
      <c r="H99" s="27">
        <f>H101</f>
        <v>0</v>
      </c>
      <c r="I99" s="27">
        <f>I101</f>
        <v>570</v>
      </c>
      <c r="J99" s="27">
        <f>J101</f>
        <v>1050</v>
      </c>
      <c r="K99" s="27">
        <f>K101</f>
        <v>1050</v>
      </c>
      <c r="L99" s="27">
        <f>L101</f>
        <v>1050</v>
      </c>
      <c r="M99" s="6">
        <f>SUM(H99:L99)</f>
        <v>3720</v>
      </c>
      <c r="N99" s="18"/>
    </row>
    <row r="100" spans="1:14" x14ac:dyDescent="0.25">
      <c r="A100" s="61"/>
      <c r="B100" s="74"/>
      <c r="C100" s="19" t="s">
        <v>15</v>
      </c>
      <c r="D100" s="20"/>
      <c r="E100" s="20"/>
      <c r="F100" s="20"/>
      <c r="G100" s="20"/>
      <c r="H100" s="27"/>
      <c r="I100" s="6"/>
      <c r="J100" s="6"/>
      <c r="K100" s="6"/>
      <c r="L100" s="6"/>
      <c r="M100" s="6"/>
      <c r="N100" s="18"/>
    </row>
    <row r="101" spans="1:14" ht="30" x14ac:dyDescent="0.25">
      <c r="A101" s="62"/>
      <c r="B101" s="75"/>
      <c r="C101" s="27" t="s">
        <v>28</v>
      </c>
      <c r="D101" s="20" t="s">
        <v>32</v>
      </c>
      <c r="E101" s="20" t="s">
        <v>70</v>
      </c>
      <c r="F101" s="20" t="s">
        <v>109</v>
      </c>
      <c r="G101" s="20" t="s">
        <v>35</v>
      </c>
      <c r="H101" s="27">
        <v>0</v>
      </c>
      <c r="I101" s="27">
        <v>570</v>
      </c>
      <c r="J101" s="27">
        <f>ROUND(1050,2)</f>
        <v>1050</v>
      </c>
      <c r="K101" s="27">
        <f>J101</f>
        <v>1050</v>
      </c>
      <c r="L101" s="27">
        <f>K101</f>
        <v>1050</v>
      </c>
      <c r="M101" s="6">
        <f>SUM(H101:L101)</f>
        <v>3720</v>
      </c>
      <c r="N101" s="18"/>
    </row>
    <row r="102" spans="1:14" ht="30" x14ac:dyDescent="0.25">
      <c r="A102" s="60" t="s">
        <v>110</v>
      </c>
      <c r="B102" s="73" t="s">
        <v>111</v>
      </c>
      <c r="C102" s="19" t="s">
        <v>13</v>
      </c>
      <c r="D102" s="4" t="s">
        <v>14</v>
      </c>
      <c r="E102" s="4" t="s">
        <v>14</v>
      </c>
      <c r="F102" s="4" t="s">
        <v>14</v>
      </c>
      <c r="G102" s="4" t="s">
        <v>14</v>
      </c>
      <c r="H102" s="27">
        <f>H104</f>
        <v>0</v>
      </c>
      <c r="I102" s="27">
        <f>I104</f>
        <v>0</v>
      </c>
      <c r="J102" s="27">
        <f>J104</f>
        <v>0</v>
      </c>
      <c r="K102" s="27">
        <f>K104</f>
        <v>0</v>
      </c>
      <c r="L102" s="27">
        <f>L104</f>
        <v>0</v>
      </c>
      <c r="M102" s="6">
        <f>SUM(H102:L102)</f>
        <v>0</v>
      </c>
      <c r="N102" s="18"/>
    </row>
    <row r="103" spans="1:14" x14ac:dyDescent="0.25">
      <c r="A103" s="61"/>
      <c r="B103" s="74"/>
      <c r="C103" s="19" t="s">
        <v>15</v>
      </c>
      <c r="D103" s="20"/>
      <c r="E103" s="20"/>
      <c r="F103" s="20"/>
      <c r="G103" s="20"/>
      <c r="H103" s="27"/>
      <c r="I103" s="6"/>
      <c r="J103" s="6"/>
      <c r="K103" s="6"/>
      <c r="L103" s="6"/>
      <c r="M103" s="6"/>
      <c r="N103" s="18"/>
    </row>
    <row r="104" spans="1:14" x14ac:dyDescent="0.25">
      <c r="A104" s="62"/>
      <c r="B104" s="75"/>
      <c r="C104" s="27" t="s">
        <v>28</v>
      </c>
      <c r="D104" s="20" t="s">
        <v>32</v>
      </c>
      <c r="E104" s="20" t="s">
        <v>70</v>
      </c>
      <c r="F104" s="20" t="s">
        <v>112</v>
      </c>
      <c r="G104" s="20" t="s">
        <v>35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6">
        <f>SUM(H104:L104)</f>
        <v>0</v>
      </c>
      <c r="N104" s="18"/>
    </row>
    <row r="105" spans="1:14" ht="30" x14ac:dyDescent="0.25">
      <c r="A105" s="60" t="s">
        <v>113</v>
      </c>
      <c r="B105" s="73" t="s">
        <v>114</v>
      </c>
      <c r="C105" s="19" t="s">
        <v>13</v>
      </c>
      <c r="D105" s="4" t="s">
        <v>14</v>
      </c>
      <c r="E105" s="4" t="s">
        <v>14</v>
      </c>
      <c r="F105" s="4" t="s">
        <v>14</v>
      </c>
      <c r="G105" s="4" t="s">
        <v>14</v>
      </c>
      <c r="H105" s="27">
        <f>H107</f>
        <v>0</v>
      </c>
      <c r="I105" s="27">
        <f>I107</f>
        <v>99.75</v>
      </c>
      <c r="J105" s="27">
        <f>J107</f>
        <v>0</v>
      </c>
      <c r="K105" s="27">
        <f>K107</f>
        <v>0</v>
      </c>
      <c r="L105" s="27">
        <f>L107</f>
        <v>0</v>
      </c>
      <c r="M105" s="6">
        <f>SUM(H105:L105)</f>
        <v>99.75</v>
      </c>
      <c r="N105" s="18"/>
    </row>
    <row r="106" spans="1:14" x14ac:dyDescent="0.25">
      <c r="A106" s="61"/>
      <c r="B106" s="74"/>
      <c r="C106" s="19" t="s">
        <v>15</v>
      </c>
      <c r="D106" s="20"/>
      <c r="E106" s="20"/>
      <c r="F106" s="20"/>
      <c r="G106" s="20"/>
      <c r="H106" s="27"/>
      <c r="I106" s="6"/>
      <c r="J106" s="6"/>
      <c r="K106" s="6"/>
      <c r="L106" s="6"/>
      <c r="M106" s="6"/>
      <c r="N106" s="18"/>
    </row>
    <row r="107" spans="1:14" x14ac:dyDescent="0.25">
      <c r="A107" s="62"/>
      <c r="B107" s="75"/>
      <c r="C107" s="27" t="s">
        <v>28</v>
      </c>
      <c r="D107" s="20" t="s">
        <v>32</v>
      </c>
      <c r="E107" s="20" t="s">
        <v>70</v>
      </c>
      <c r="F107" s="20" t="s">
        <v>115</v>
      </c>
      <c r="G107" s="20" t="s">
        <v>35</v>
      </c>
      <c r="H107" s="27">
        <v>0</v>
      </c>
      <c r="I107" s="27">
        <v>99.75</v>
      </c>
      <c r="J107" s="27">
        <v>0</v>
      </c>
      <c r="K107" s="27">
        <v>0</v>
      </c>
      <c r="L107" s="27">
        <v>0</v>
      </c>
      <c r="M107" s="6">
        <f t="shared" ref="M107:M117" si="5">SUM(H107:L107)</f>
        <v>99.75</v>
      </c>
      <c r="N107" s="18"/>
    </row>
    <row r="108" spans="1:14" ht="45" customHeight="1" x14ac:dyDescent="0.25">
      <c r="A108" s="67" t="s">
        <v>116</v>
      </c>
      <c r="B108" s="63" t="s">
        <v>117</v>
      </c>
      <c r="C108" s="27" t="s">
        <v>13</v>
      </c>
      <c r="D108" s="20" t="s">
        <v>14</v>
      </c>
      <c r="E108" s="20" t="s">
        <v>14</v>
      </c>
      <c r="F108" s="20" t="s">
        <v>14</v>
      </c>
      <c r="G108" s="20" t="s">
        <v>14</v>
      </c>
      <c r="H108" s="27">
        <v>0</v>
      </c>
      <c r="I108" s="27">
        <f>I110</f>
        <v>1484.9</v>
      </c>
      <c r="J108" s="27">
        <f>J110</f>
        <v>0</v>
      </c>
      <c r="K108" s="27">
        <f>K110</f>
        <v>0</v>
      </c>
      <c r="L108" s="27">
        <f>L110</f>
        <v>0</v>
      </c>
      <c r="M108" s="6">
        <f t="shared" si="5"/>
        <v>1484.9</v>
      </c>
      <c r="N108" s="18"/>
    </row>
    <row r="109" spans="1:14" x14ac:dyDescent="0.25">
      <c r="A109" s="67"/>
      <c r="B109" s="63"/>
      <c r="C109" s="27" t="s">
        <v>15</v>
      </c>
      <c r="D109" s="20"/>
      <c r="E109" s="20"/>
      <c r="F109" s="20"/>
      <c r="G109" s="20"/>
      <c r="H109" s="27"/>
      <c r="I109" s="27"/>
      <c r="J109" s="27"/>
      <c r="K109" s="27"/>
      <c r="L109" s="27"/>
      <c r="M109" s="6"/>
      <c r="N109" s="18"/>
    </row>
    <row r="110" spans="1:14" ht="27.75" customHeight="1" x14ac:dyDescent="0.25">
      <c r="A110" s="67"/>
      <c r="B110" s="63"/>
      <c r="C110" s="27" t="s">
        <v>28</v>
      </c>
      <c r="D110" s="20" t="s">
        <v>32</v>
      </c>
      <c r="E110" s="20" t="s">
        <v>70</v>
      </c>
      <c r="F110" s="20" t="s">
        <v>118</v>
      </c>
      <c r="G110" s="20" t="s">
        <v>35</v>
      </c>
      <c r="H110" s="27">
        <v>0</v>
      </c>
      <c r="I110" s="27">
        <v>1484.9</v>
      </c>
      <c r="J110" s="27">
        <v>0</v>
      </c>
      <c r="K110" s="27">
        <v>0</v>
      </c>
      <c r="L110" s="27">
        <v>0</v>
      </c>
      <c r="M110" s="6">
        <f t="shared" si="5"/>
        <v>1484.9</v>
      </c>
      <c r="N110" s="18"/>
    </row>
    <row r="111" spans="1:14" ht="45" customHeight="1" x14ac:dyDescent="0.25">
      <c r="A111" s="67" t="s">
        <v>119</v>
      </c>
      <c r="B111" s="63" t="s">
        <v>120</v>
      </c>
      <c r="C111" s="27" t="s">
        <v>13</v>
      </c>
      <c r="D111" s="20" t="s">
        <v>14</v>
      </c>
      <c r="E111" s="20" t="s">
        <v>14</v>
      </c>
      <c r="F111" s="20" t="s">
        <v>14</v>
      </c>
      <c r="G111" s="20" t="s">
        <v>14</v>
      </c>
      <c r="H111" s="27">
        <v>0</v>
      </c>
      <c r="I111" s="27">
        <f>I113</f>
        <v>14.9</v>
      </c>
      <c r="J111" s="27">
        <f>J113</f>
        <v>0</v>
      </c>
      <c r="K111" s="27">
        <f>K113</f>
        <v>0</v>
      </c>
      <c r="L111" s="27">
        <f>L113</f>
        <v>0</v>
      </c>
      <c r="M111" s="6">
        <f t="shared" si="5"/>
        <v>14.9</v>
      </c>
      <c r="N111" s="18"/>
    </row>
    <row r="112" spans="1:14" ht="35.25" customHeight="1" x14ac:dyDescent="0.25">
      <c r="A112" s="67"/>
      <c r="B112" s="63"/>
      <c r="C112" s="27" t="s">
        <v>15</v>
      </c>
      <c r="D112" s="20"/>
      <c r="E112" s="20"/>
      <c r="F112" s="20"/>
      <c r="G112" s="20"/>
      <c r="H112" s="27"/>
      <c r="I112" s="27"/>
      <c r="J112" s="27"/>
      <c r="K112" s="27"/>
      <c r="L112" s="27"/>
      <c r="M112" s="6"/>
      <c r="N112" s="18"/>
    </row>
    <row r="113" spans="1:19" ht="42.75" customHeight="1" x14ac:dyDescent="0.25">
      <c r="A113" s="67"/>
      <c r="B113" s="63"/>
      <c r="C113" s="27" t="s">
        <v>28</v>
      </c>
      <c r="D113" s="20" t="s">
        <v>32</v>
      </c>
      <c r="E113" s="20" t="s">
        <v>70</v>
      </c>
      <c r="F113" s="20" t="s">
        <v>121</v>
      </c>
      <c r="G113" s="20" t="s">
        <v>35</v>
      </c>
      <c r="H113" s="27">
        <v>0</v>
      </c>
      <c r="I113" s="27">
        <v>14.9</v>
      </c>
      <c r="J113" s="27">
        <v>0</v>
      </c>
      <c r="K113" s="27">
        <v>0</v>
      </c>
      <c r="L113" s="27">
        <v>0</v>
      </c>
      <c r="M113" s="6">
        <f t="shared" si="5"/>
        <v>14.9</v>
      </c>
      <c r="N113" s="18"/>
    </row>
    <row r="114" spans="1:19" ht="28.5" customHeight="1" x14ac:dyDescent="0.25">
      <c r="A114" s="67" t="s">
        <v>122</v>
      </c>
      <c r="B114" s="81" t="s">
        <v>123</v>
      </c>
      <c r="C114" s="27" t="s">
        <v>13</v>
      </c>
      <c r="D114" s="20" t="s">
        <v>14</v>
      </c>
      <c r="E114" s="20" t="s">
        <v>14</v>
      </c>
      <c r="F114" s="20" t="s">
        <v>14</v>
      </c>
      <c r="G114" s="20" t="s">
        <v>14</v>
      </c>
      <c r="H114" s="27">
        <v>0</v>
      </c>
      <c r="I114" s="27">
        <f>I116</f>
        <v>260</v>
      </c>
      <c r="J114" s="27">
        <f>J116</f>
        <v>0</v>
      </c>
      <c r="K114" s="27">
        <f>K116</f>
        <v>0</v>
      </c>
      <c r="L114" s="27">
        <f>L116</f>
        <v>0</v>
      </c>
      <c r="M114" s="6">
        <f t="shared" si="5"/>
        <v>260</v>
      </c>
      <c r="N114" s="18"/>
    </row>
    <row r="115" spans="1:19" ht="22.5" customHeight="1" x14ac:dyDescent="0.25">
      <c r="A115" s="67"/>
      <c r="B115" s="82"/>
      <c r="C115" s="27" t="s">
        <v>15</v>
      </c>
      <c r="D115" s="20"/>
      <c r="E115" s="20"/>
      <c r="F115" s="20"/>
      <c r="G115" s="20"/>
      <c r="H115" s="27"/>
      <c r="I115" s="27"/>
      <c r="J115" s="27"/>
      <c r="K115" s="27"/>
      <c r="L115" s="27"/>
      <c r="M115" s="6"/>
      <c r="N115" s="18"/>
    </row>
    <row r="116" spans="1:19" ht="22.5" customHeight="1" x14ac:dyDescent="0.25">
      <c r="A116" s="67"/>
      <c r="B116" s="83"/>
      <c r="C116" s="25" t="s">
        <v>28</v>
      </c>
      <c r="D116" s="20" t="s">
        <v>32</v>
      </c>
      <c r="E116" s="20" t="s">
        <v>70</v>
      </c>
      <c r="F116" s="20" t="s">
        <v>124</v>
      </c>
      <c r="G116" s="20" t="s">
        <v>35</v>
      </c>
      <c r="H116" s="27">
        <v>0</v>
      </c>
      <c r="I116" s="27">
        <v>260</v>
      </c>
      <c r="J116" s="27">
        <v>0</v>
      </c>
      <c r="K116" s="27">
        <v>0</v>
      </c>
      <c r="L116" s="27">
        <v>0</v>
      </c>
      <c r="M116" s="6">
        <f t="shared" si="5"/>
        <v>260</v>
      </c>
      <c r="N116" s="18"/>
    </row>
    <row r="117" spans="1:19" ht="37.5" customHeight="1" x14ac:dyDescent="0.25">
      <c r="A117" s="67" t="s">
        <v>125</v>
      </c>
      <c r="B117" s="81" t="s">
        <v>126</v>
      </c>
      <c r="C117" s="27" t="s">
        <v>13</v>
      </c>
      <c r="D117" s="20" t="s">
        <v>14</v>
      </c>
      <c r="E117" s="20" t="s">
        <v>14</v>
      </c>
      <c r="F117" s="20" t="s">
        <v>14</v>
      </c>
      <c r="G117" s="20" t="s">
        <v>14</v>
      </c>
      <c r="H117" s="27">
        <v>0</v>
      </c>
      <c r="I117" s="27">
        <f>I119</f>
        <v>200</v>
      </c>
      <c r="J117" s="27">
        <f>J119</f>
        <v>0</v>
      </c>
      <c r="K117" s="27">
        <f>K119</f>
        <v>0</v>
      </c>
      <c r="L117" s="27">
        <f>L119</f>
        <v>0</v>
      </c>
      <c r="M117" s="27">
        <f t="shared" si="5"/>
        <v>200</v>
      </c>
      <c r="N117" s="18"/>
    </row>
    <row r="118" spans="1:19" ht="22.5" customHeight="1" x14ac:dyDescent="0.25">
      <c r="A118" s="67"/>
      <c r="B118" s="82"/>
      <c r="C118" s="27" t="s">
        <v>15</v>
      </c>
      <c r="D118" s="20"/>
      <c r="E118" s="20"/>
      <c r="F118" s="20"/>
      <c r="G118" s="20"/>
      <c r="H118" s="27"/>
      <c r="I118" s="27"/>
      <c r="J118" s="27"/>
      <c r="K118" s="27"/>
      <c r="L118" s="27"/>
      <c r="M118" s="27"/>
      <c r="N118" s="18"/>
    </row>
    <row r="119" spans="1:19" ht="22.5" customHeight="1" x14ac:dyDescent="0.25">
      <c r="A119" s="67"/>
      <c r="B119" s="83"/>
      <c r="C119" s="25" t="s">
        <v>28</v>
      </c>
      <c r="D119" s="20" t="s">
        <v>32</v>
      </c>
      <c r="E119" s="20" t="s">
        <v>70</v>
      </c>
      <c r="F119" s="20" t="s">
        <v>127</v>
      </c>
      <c r="G119" s="20" t="s">
        <v>35</v>
      </c>
      <c r="H119" s="27">
        <v>0</v>
      </c>
      <c r="I119" s="27">
        <v>200</v>
      </c>
      <c r="J119" s="27">
        <v>0</v>
      </c>
      <c r="K119" s="27">
        <v>0</v>
      </c>
      <c r="L119" s="27">
        <v>0</v>
      </c>
      <c r="M119" s="27">
        <f>SUM(H119:L119)</f>
        <v>200</v>
      </c>
      <c r="N119" s="18"/>
    </row>
    <row r="120" spans="1:19" ht="51" customHeight="1" x14ac:dyDescent="0.25">
      <c r="A120" s="67" t="s">
        <v>128</v>
      </c>
      <c r="B120" s="81" t="s">
        <v>129</v>
      </c>
      <c r="C120" s="27" t="s">
        <v>13</v>
      </c>
      <c r="D120" s="20" t="s">
        <v>14</v>
      </c>
      <c r="E120" s="20" t="s">
        <v>14</v>
      </c>
      <c r="F120" s="20" t="s">
        <v>14</v>
      </c>
      <c r="G120" s="20" t="s">
        <v>14</v>
      </c>
      <c r="H120" s="27">
        <v>0</v>
      </c>
      <c r="I120" s="27">
        <f>I122</f>
        <v>46.17</v>
      </c>
      <c r="J120" s="27">
        <f>J122</f>
        <v>0</v>
      </c>
      <c r="K120" s="27">
        <f>K122</f>
        <v>0</v>
      </c>
      <c r="L120" s="27">
        <f>L122</f>
        <v>0</v>
      </c>
      <c r="M120" s="27">
        <f>SUM(H120:L120)</f>
        <v>46.17</v>
      </c>
      <c r="N120" s="18"/>
    </row>
    <row r="121" spans="1:19" ht="27.75" customHeight="1" x14ac:dyDescent="0.25">
      <c r="A121" s="67"/>
      <c r="B121" s="82"/>
      <c r="C121" s="27" t="s">
        <v>15</v>
      </c>
      <c r="D121" s="20"/>
      <c r="E121" s="20"/>
      <c r="F121" s="20"/>
      <c r="G121" s="20"/>
      <c r="H121" s="27"/>
      <c r="I121" s="27"/>
      <c r="J121" s="27"/>
      <c r="K121" s="27"/>
      <c r="L121" s="27"/>
      <c r="M121" s="27"/>
      <c r="N121" s="18"/>
    </row>
    <row r="122" spans="1:19" ht="28.5" customHeight="1" x14ac:dyDescent="0.25">
      <c r="A122" s="67"/>
      <c r="B122" s="83"/>
      <c r="C122" s="25" t="s">
        <v>28</v>
      </c>
      <c r="D122" s="20" t="s">
        <v>32</v>
      </c>
      <c r="E122" s="20" t="s">
        <v>70</v>
      </c>
      <c r="F122" s="20" t="s">
        <v>130</v>
      </c>
      <c r="G122" s="20" t="s">
        <v>35</v>
      </c>
      <c r="H122" s="27">
        <v>0</v>
      </c>
      <c r="I122" s="27">
        <v>46.17</v>
      </c>
      <c r="J122" s="27">
        <v>0</v>
      </c>
      <c r="K122" s="27">
        <v>0</v>
      </c>
      <c r="L122" s="27">
        <v>0</v>
      </c>
      <c r="M122" s="27">
        <f>SUM(H122:L122)</f>
        <v>46.17</v>
      </c>
      <c r="N122" s="18"/>
    </row>
    <row r="123" spans="1:19" s="15" customFormat="1" ht="29.25" customHeight="1" x14ac:dyDescent="0.25">
      <c r="A123" s="88" t="s">
        <v>131</v>
      </c>
      <c r="B123" s="91" t="s">
        <v>132</v>
      </c>
      <c r="C123" s="7" t="s">
        <v>13</v>
      </c>
      <c r="D123" s="8" t="s">
        <v>14</v>
      </c>
      <c r="E123" s="8" t="s">
        <v>14</v>
      </c>
      <c r="F123" s="8" t="s">
        <v>14</v>
      </c>
      <c r="G123" s="8" t="s">
        <v>14</v>
      </c>
      <c r="H123" s="9">
        <f>H127+H126+H125+H128</f>
        <v>31901.469999999998</v>
      </c>
      <c r="I123" s="9">
        <f>I127+I126+I125+I128</f>
        <v>32954.811799999996</v>
      </c>
      <c r="J123" s="9">
        <f>J127+J126+J125+J128</f>
        <v>27648.209000000003</v>
      </c>
      <c r="K123" s="9">
        <f>K127+K126+K125+K128</f>
        <v>27729.380000000005</v>
      </c>
      <c r="L123" s="9">
        <f>L127+L126+L125+L128</f>
        <v>27729.380000000005</v>
      </c>
      <c r="M123" s="9">
        <f>SUM(H123:L123)</f>
        <v>147963.25080000001</v>
      </c>
      <c r="N123" s="14"/>
    </row>
    <row r="124" spans="1:19" s="15" customFormat="1" ht="14.25" customHeight="1" x14ac:dyDescent="0.25">
      <c r="A124" s="89"/>
      <c r="B124" s="92"/>
      <c r="C124" s="7" t="s">
        <v>15</v>
      </c>
      <c r="D124" s="8"/>
      <c r="E124" s="8"/>
      <c r="F124" s="8"/>
      <c r="G124" s="8"/>
      <c r="H124" s="9"/>
      <c r="I124" s="9"/>
      <c r="J124" s="9"/>
      <c r="K124" s="9"/>
      <c r="L124" s="9"/>
      <c r="M124" s="9"/>
      <c r="N124" s="14"/>
    </row>
    <row r="125" spans="1:19" s="15" customFormat="1" ht="14.25" x14ac:dyDescent="0.25">
      <c r="A125" s="89"/>
      <c r="B125" s="92"/>
      <c r="C125" s="7" t="str">
        <f>C131</f>
        <v>МКУ "СГХ"</v>
      </c>
      <c r="D125" s="8" t="s">
        <v>14</v>
      </c>
      <c r="E125" s="8" t="s">
        <v>14</v>
      </c>
      <c r="F125" s="8" t="s">
        <v>14</v>
      </c>
      <c r="G125" s="8" t="s">
        <v>14</v>
      </c>
      <c r="H125" s="9">
        <f>H131+H136+H139+H140+H143+H146+H147+H148+H149+H154+H161+H164+H170+H176+H182+H179+H185+H158</f>
        <v>30070.739999999998</v>
      </c>
      <c r="I125" s="9">
        <f>I131+I136+I139+I140+I143+I146+I147+I148+I149+I154+I161+I164+I170+I176+I182+I179+I185+I158</f>
        <v>28013.991799999996</v>
      </c>
      <c r="J125" s="9">
        <f>J131+J136+J139+J140+J143+J146+J147+J148+J149+J154+J161+J164+J170+J176+J182+J179+J185+J158+J188+J189</f>
        <v>22332.219000000001</v>
      </c>
      <c r="K125" s="9">
        <f>K131+K136+K139+K140+K143+K146+K147+K148+K149+K154+K161+K164+K170+K176+K182+K179+K185+K158</f>
        <v>22413.390000000003</v>
      </c>
      <c r="L125" s="9">
        <f>L131+L136+L139+L140+L143+L146+L147+L148+L149+L154+L161+L164+L170+L176+L182+L179+L185+L158</f>
        <v>22413.390000000003</v>
      </c>
      <c r="M125" s="9">
        <f>SUM(H125:L125)</f>
        <v>125243.73079999999</v>
      </c>
      <c r="N125" s="14"/>
    </row>
    <row r="126" spans="1:19" s="15" customFormat="1" ht="27.75" customHeight="1" x14ac:dyDescent="0.2">
      <c r="A126" s="89"/>
      <c r="B126" s="92"/>
      <c r="C126" s="32" t="str">
        <f>C132</f>
        <v>Администрация поселка Горячегорск</v>
      </c>
      <c r="D126" s="8" t="s">
        <v>14</v>
      </c>
      <c r="E126" s="8" t="s">
        <v>14</v>
      </c>
      <c r="F126" s="8" t="s">
        <v>14</v>
      </c>
      <c r="G126" s="8" t="s">
        <v>14</v>
      </c>
      <c r="H126" s="9">
        <f>H132+H150+H151+H157+H173</f>
        <v>925.52</v>
      </c>
      <c r="I126" s="9">
        <f>I132+I150+I151+I157+I173</f>
        <v>966.57999999999993</v>
      </c>
      <c r="J126" s="9">
        <f>J132+J150+J151+J157+J173</f>
        <v>1101.69</v>
      </c>
      <c r="K126" s="9">
        <f>K132+K150+K151+K157+K173</f>
        <v>1101.69</v>
      </c>
      <c r="L126" s="9">
        <f>L132+L150+L151+L157+L173</f>
        <v>1101.69</v>
      </c>
      <c r="M126" s="9">
        <f>SUM(H126:L126)</f>
        <v>5197.17</v>
      </c>
      <c r="N126" s="14"/>
    </row>
    <row r="127" spans="1:19" s="15" customFormat="1" ht="16.5" customHeight="1" x14ac:dyDescent="0.25">
      <c r="A127" s="89"/>
      <c r="B127" s="92"/>
      <c r="C127" s="7" t="str">
        <f>C133</f>
        <v>Администрация поселка Дубинино</v>
      </c>
      <c r="D127" s="8" t="s">
        <v>14</v>
      </c>
      <c r="E127" s="8" t="s">
        <v>14</v>
      </c>
      <c r="F127" s="8" t="s">
        <v>14</v>
      </c>
      <c r="G127" s="8" t="s">
        <v>14</v>
      </c>
      <c r="H127" s="9">
        <f>H133</f>
        <v>82.09</v>
      </c>
      <c r="I127" s="9">
        <f>I133</f>
        <v>51.16</v>
      </c>
      <c r="J127" s="9">
        <f>J133</f>
        <v>13.7</v>
      </c>
      <c r="K127" s="9">
        <f>K133</f>
        <v>13.7</v>
      </c>
      <c r="L127" s="9">
        <f>L133</f>
        <v>13.7</v>
      </c>
      <c r="M127" s="9">
        <f>SUM(H127:L127)</f>
        <v>174.34999999999997</v>
      </c>
      <c r="N127" s="14"/>
      <c r="S127" s="31"/>
    </row>
    <row r="128" spans="1:19" s="15" customFormat="1" ht="16.5" customHeight="1" x14ac:dyDescent="0.25">
      <c r="A128" s="90"/>
      <c r="B128" s="93"/>
      <c r="C128" s="7" t="s">
        <v>23</v>
      </c>
      <c r="D128" s="8" t="s">
        <v>14</v>
      </c>
      <c r="E128" s="8" t="s">
        <v>14</v>
      </c>
      <c r="F128" s="8" t="s">
        <v>14</v>
      </c>
      <c r="G128" s="8" t="s">
        <v>14</v>
      </c>
      <c r="H128" s="9">
        <f>H165</f>
        <v>823.12</v>
      </c>
      <c r="I128" s="9">
        <f>I165</f>
        <v>3923.08</v>
      </c>
      <c r="J128" s="9">
        <f>J165</f>
        <v>4200.6000000000004</v>
      </c>
      <c r="K128" s="9">
        <f>K165</f>
        <v>4200.6000000000004</v>
      </c>
      <c r="L128" s="9">
        <f>L165</f>
        <v>4200.6000000000004</v>
      </c>
      <c r="M128" s="9">
        <f>SUM(H128:L128)</f>
        <v>17348</v>
      </c>
      <c r="N128" s="14"/>
    </row>
    <row r="129" spans="1:14" ht="31.5" customHeight="1" x14ac:dyDescent="0.25">
      <c r="A129" s="60" t="s">
        <v>133</v>
      </c>
      <c r="B129" s="73" t="s">
        <v>134</v>
      </c>
      <c r="C129" s="19" t="s">
        <v>13</v>
      </c>
      <c r="D129" s="4" t="s">
        <v>14</v>
      </c>
      <c r="E129" s="4" t="s">
        <v>14</v>
      </c>
      <c r="F129" s="4" t="s">
        <v>14</v>
      </c>
      <c r="G129" s="4" t="s">
        <v>14</v>
      </c>
      <c r="H129" s="6">
        <f>SUM(H131:H133)</f>
        <v>246.85</v>
      </c>
      <c r="I129" s="6">
        <v>233.92</v>
      </c>
      <c r="J129" s="6">
        <f>SUM(J131:J133)</f>
        <v>164.39999999999998</v>
      </c>
      <c r="K129" s="6">
        <f>SUM(K131:K133)</f>
        <v>164.39999999999998</v>
      </c>
      <c r="L129" s="6">
        <f>SUM(L131:L133)</f>
        <v>164.39999999999998</v>
      </c>
      <c r="M129" s="6">
        <f>SUM(H129:L129)</f>
        <v>973.96999999999991</v>
      </c>
    </row>
    <row r="130" spans="1:14" ht="15.75" customHeight="1" x14ac:dyDescent="0.25">
      <c r="A130" s="61"/>
      <c r="B130" s="74"/>
      <c r="C130" s="19" t="s">
        <v>15</v>
      </c>
      <c r="D130" s="4"/>
      <c r="E130" s="4"/>
      <c r="F130" s="4"/>
      <c r="G130" s="4"/>
      <c r="H130" s="6"/>
      <c r="I130" s="6"/>
      <c r="J130" s="6"/>
      <c r="K130" s="6"/>
      <c r="L130" s="6"/>
      <c r="M130" s="6"/>
    </row>
    <row r="131" spans="1:14" ht="33.75" customHeight="1" x14ac:dyDescent="0.25">
      <c r="A131" s="61"/>
      <c r="B131" s="74"/>
      <c r="C131" s="25" t="s">
        <v>28</v>
      </c>
      <c r="D131" s="20" t="s">
        <v>32</v>
      </c>
      <c r="E131" s="20" t="s">
        <v>135</v>
      </c>
      <c r="F131" s="20" t="s">
        <v>136</v>
      </c>
      <c r="G131" s="20" t="s">
        <v>137</v>
      </c>
      <c r="H131" s="27">
        <f>ROUND(63.25215+18.982,2)</f>
        <v>82.23</v>
      </c>
      <c r="I131" s="27">
        <v>127.96</v>
      </c>
      <c r="J131" s="27">
        <f>ROUND(84.178+25.422,2)</f>
        <v>109.6</v>
      </c>
      <c r="K131" s="27">
        <f t="shared" ref="K131:L133" si="6">J131</f>
        <v>109.6</v>
      </c>
      <c r="L131" s="27">
        <f t="shared" si="6"/>
        <v>109.6</v>
      </c>
      <c r="M131" s="6">
        <f>SUM(H131:L131)</f>
        <v>538.99</v>
      </c>
    </row>
    <row r="132" spans="1:14" ht="33" customHeight="1" x14ac:dyDescent="0.25">
      <c r="A132" s="61"/>
      <c r="B132" s="74"/>
      <c r="C132" s="25" t="s">
        <v>92</v>
      </c>
      <c r="D132" s="20" t="s">
        <v>17</v>
      </c>
      <c r="E132" s="20" t="s">
        <v>135</v>
      </c>
      <c r="F132" s="20" t="s">
        <v>136</v>
      </c>
      <c r="G132" s="20" t="s">
        <v>138</v>
      </c>
      <c r="H132" s="27">
        <f>ROUND(63.389+19.144,2)</f>
        <v>82.53</v>
      </c>
      <c r="I132" s="27">
        <v>54.8</v>
      </c>
      <c r="J132" s="27">
        <f>ROUND(31.567+9.533,2)</f>
        <v>41.1</v>
      </c>
      <c r="K132" s="27">
        <f t="shared" si="6"/>
        <v>41.1</v>
      </c>
      <c r="L132" s="27">
        <f t="shared" si="6"/>
        <v>41.1</v>
      </c>
      <c r="M132" s="6">
        <f>SUM(H132:L132)</f>
        <v>260.63</v>
      </c>
      <c r="N132" s="84"/>
    </row>
    <row r="133" spans="1:14" ht="40.5" customHeight="1" x14ac:dyDescent="0.25">
      <c r="A133" s="62"/>
      <c r="B133" s="75"/>
      <c r="C133" s="25" t="s">
        <v>29</v>
      </c>
      <c r="D133" s="20" t="s">
        <v>18</v>
      </c>
      <c r="E133" s="20" t="s">
        <v>135</v>
      </c>
      <c r="F133" s="20" t="s">
        <v>136</v>
      </c>
      <c r="G133" s="20" t="s">
        <v>138</v>
      </c>
      <c r="H133" s="27">
        <f>ROUND(63.05226+19.04179,2)</f>
        <v>82.09</v>
      </c>
      <c r="I133" s="27">
        <v>51.16</v>
      </c>
      <c r="J133" s="27">
        <f>ROUND(10.52227+3.17773,2)</f>
        <v>13.7</v>
      </c>
      <c r="K133" s="27">
        <f t="shared" si="6"/>
        <v>13.7</v>
      </c>
      <c r="L133" s="27">
        <f t="shared" si="6"/>
        <v>13.7</v>
      </c>
      <c r="M133" s="6">
        <f>SUM(H133:L133)</f>
        <v>174.34999999999997</v>
      </c>
      <c r="N133" s="84"/>
    </row>
    <row r="134" spans="1:14" ht="38.25" customHeight="1" x14ac:dyDescent="0.25">
      <c r="A134" s="60" t="s">
        <v>139</v>
      </c>
      <c r="B134" s="73" t="s">
        <v>140</v>
      </c>
      <c r="C134" s="19" t="s">
        <v>13</v>
      </c>
      <c r="D134" s="4" t="s">
        <v>14</v>
      </c>
      <c r="E134" s="4" t="s">
        <v>14</v>
      </c>
      <c r="F134" s="4" t="s">
        <v>14</v>
      </c>
      <c r="G134" s="4" t="s">
        <v>14</v>
      </c>
      <c r="H134" s="6">
        <f>SUM(H136)</f>
        <v>123.16</v>
      </c>
      <c r="I134" s="6">
        <f>SUM(I136)</f>
        <v>124.18</v>
      </c>
      <c r="J134" s="6">
        <f>SUM(J136)</f>
        <v>141.83000000000001</v>
      </c>
      <c r="K134" s="6">
        <f>SUM(K136)</f>
        <v>223</v>
      </c>
      <c r="L134" s="6">
        <f>SUM(L136)</f>
        <v>223</v>
      </c>
      <c r="M134" s="6">
        <f>SUM(H134:L134)</f>
        <v>835.17000000000007</v>
      </c>
    </row>
    <row r="135" spans="1:14" ht="20.25" customHeight="1" x14ac:dyDescent="0.25">
      <c r="A135" s="61"/>
      <c r="B135" s="74"/>
      <c r="C135" s="19" t="s">
        <v>15</v>
      </c>
      <c r="D135" s="4"/>
      <c r="E135" s="4"/>
      <c r="F135" s="4"/>
      <c r="G135" s="4"/>
      <c r="H135" s="6"/>
      <c r="I135" s="6"/>
      <c r="J135" s="6"/>
      <c r="K135" s="6"/>
      <c r="L135" s="6"/>
      <c r="M135" s="6"/>
    </row>
    <row r="136" spans="1:14" ht="36" customHeight="1" x14ac:dyDescent="0.25">
      <c r="A136" s="62"/>
      <c r="B136" s="75"/>
      <c r="C136" s="19" t="s">
        <v>28</v>
      </c>
      <c r="D136" s="20" t="s">
        <v>32</v>
      </c>
      <c r="E136" s="20" t="s">
        <v>33</v>
      </c>
      <c r="F136" s="20" t="s">
        <v>141</v>
      </c>
      <c r="G136" s="20" t="s">
        <v>142</v>
      </c>
      <c r="H136" s="27">
        <f>ROUND(123.16034,2)</f>
        <v>123.16</v>
      </c>
      <c r="I136" s="27">
        <v>124.18</v>
      </c>
      <c r="J136" s="27">
        <f>ROUND(223-81.17,2)</f>
        <v>141.83000000000001</v>
      </c>
      <c r="K136" s="27">
        <f>ROUND(223,2)</f>
        <v>223</v>
      </c>
      <c r="L136" s="27">
        <f>K136</f>
        <v>223</v>
      </c>
      <c r="M136" s="6">
        <f>SUM(H136:L136)</f>
        <v>835.17000000000007</v>
      </c>
    </row>
    <row r="137" spans="1:14" ht="28.5" customHeight="1" x14ac:dyDescent="0.25">
      <c r="A137" s="60" t="s">
        <v>143</v>
      </c>
      <c r="B137" s="85" t="s">
        <v>144</v>
      </c>
      <c r="C137" s="19" t="s">
        <v>13</v>
      </c>
      <c r="D137" s="4" t="s">
        <v>14</v>
      </c>
      <c r="E137" s="4" t="s">
        <v>14</v>
      </c>
      <c r="F137" s="4" t="s">
        <v>14</v>
      </c>
      <c r="G137" s="4" t="s">
        <v>14</v>
      </c>
      <c r="H137" s="6">
        <f>SUM(H139:H140)</f>
        <v>7989.4</v>
      </c>
      <c r="I137" s="6">
        <f>SUM(I139:I140)</f>
        <v>0</v>
      </c>
      <c r="J137" s="6">
        <f>SUM(J139:J140)</f>
        <v>0</v>
      </c>
      <c r="K137" s="6">
        <f>SUM(K139:K140)</f>
        <v>0</v>
      </c>
      <c r="L137" s="6">
        <f>SUM(L139:L140)</f>
        <v>0</v>
      </c>
      <c r="M137" s="6">
        <f>SUM(H137:L137)</f>
        <v>7989.4</v>
      </c>
    </row>
    <row r="138" spans="1:14" ht="15.75" customHeight="1" x14ac:dyDescent="0.25">
      <c r="A138" s="61"/>
      <c r="B138" s="86"/>
      <c r="C138" s="19" t="s">
        <v>15</v>
      </c>
      <c r="D138" s="4"/>
      <c r="E138" s="4"/>
      <c r="F138" s="4"/>
      <c r="G138" s="4"/>
      <c r="H138" s="6"/>
      <c r="I138" s="6"/>
      <c r="J138" s="6"/>
      <c r="K138" s="6"/>
      <c r="L138" s="6"/>
      <c r="M138" s="6"/>
    </row>
    <row r="139" spans="1:14" ht="15.75" customHeight="1" x14ac:dyDescent="0.25">
      <c r="A139" s="61"/>
      <c r="B139" s="86"/>
      <c r="C139" s="60" t="s">
        <v>28</v>
      </c>
      <c r="D139" s="20" t="s">
        <v>32</v>
      </c>
      <c r="E139" s="20" t="s">
        <v>47</v>
      </c>
      <c r="F139" s="20" t="s">
        <v>145</v>
      </c>
      <c r="G139" s="20" t="s">
        <v>65</v>
      </c>
      <c r="H139" s="27">
        <f>ROUND(24.05+4139.9822,2)</f>
        <v>4164.03</v>
      </c>
      <c r="I139" s="27">
        <v>0</v>
      </c>
      <c r="J139" s="27">
        <f t="shared" ref="J139:L140" si="7">I139</f>
        <v>0</v>
      </c>
      <c r="K139" s="27">
        <f t="shared" si="7"/>
        <v>0</v>
      </c>
      <c r="L139" s="27">
        <f t="shared" si="7"/>
        <v>0</v>
      </c>
      <c r="M139" s="6">
        <f>SUM(H139:L139)</f>
        <v>4164.03</v>
      </c>
    </row>
    <row r="140" spans="1:14" ht="15.75" customHeight="1" x14ac:dyDescent="0.25">
      <c r="A140" s="62"/>
      <c r="B140" s="87"/>
      <c r="C140" s="62"/>
      <c r="D140" s="20" t="s">
        <v>32</v>
      </c>
      <c r="E140" s="20" t="s">
        <v>47</v>
      </c>
      <c r="F140" s="20" t="s">
        <v>145</v>
      </c>
      <c r="G140" s="20" t="s">
        <v>142</v>
      </c>
      <c r="H140" s="27">
        <f>ROUND(3825.3678,2)</f>
        <v>3825.37</v>
      </c>
      <c r="I140" s="27">
        <v>0</v>
      </c>
      <c r="J140" s="27">
        <f t="shared" si="7"/>
        <v>0</v>
      </c>
      <c r="K140" s="27">
        <f t="shared" si="7"/>
        <v>0</v>
      </c>
      <c r="L140" s="27">
        <f t="shared" si="7"/>
        <v>0</v>
      </c>
      <c r="M140" s="6">
        <f>SUM(H140:L140)</f>
        <v>3825.37</v>
      </c>
    </row>
    <row r="141" spans="1:14" ht="32.25" customHeight="1" x14ac:dyDescent="0.25">
      <c r="A141" s="60" t="s">
        <v>146</v>
      </c>
      <c r="B141" s="81" t="s">
        <v>147</v>
      </c>
      <c r="C141" s="19" t="s">
        <v>13</v>
      </c>
      <c r="D141" s="4" t="s">
        <v>14</v>
      </c>
      <c r="E141" s="4" t="s">
        <v>14</v>
      </c>
      <c r="F141" s="4" t="s">
        <v>14</v>
      </c>
      <c r="G141" s="4" t="s">
        <v>14</v>
      </c>
      <c r="H141" s="6">
        <f>SUM(H143)</f>
        <v>600</v>
      </c>
      <c r="I141" s="6">
        <f>SUM(I143)</f>
        <v>600</v>
      </c>
      <c r="J141" s="6">
        <f>SUM(J143)</f>
        <v>600</v>
      </c>
      <c r="K141" s="6">
        <f>SUM(K143)</f>
        <v>600</v>
      </c>
      <c r="L141" s="6">
        <f>SUM(L143)</f>
        <v>600</v>
      </c>
      <c r="M141" s="6">
        <f>SUM(H141:L141)</f>
        <v>3000</v>
      </c>
    </row>
    <row r="142" spans="1:14" ht="15.75" customHeight="1" x14ac:dyDescent="0.25">
      <c r="A142" s="61"/>
      <c r="B142" s="82"/>
      <c r="C142" s="19" t="s">
        <v>15</v>
      </c>
      <c r="D142" s="4"/>
      <c r="E142" s="4"/>
      <c r="F142" s="4"/>
      <c r="G142" s="4"/>
      <c r="H142" s="6"/>
      <c r="I142" s="6"/>
      <c r="J142" s="6"/>
      <c r="K142" s="6"/>
      <c r="L142" s="6"/>
      <c r="M142" s="6"/>
    </row>
    <row r="143" spans="1:14" ht="35.25" customHeight="1" x14ac:dyDescent="0.25">
      <c r="A143" s="62"/>
      <c r="B143" s="83"/>
      <c r="C143" s="19" t="s">
        <v>28</v>
      </c>
      <c r="D143" s="20" t="s">
        <v>32</v>
      </c>
      <c r="E143" s="20" t="s">
        <v>47</v>
      </c>
      <c r="F143" s="20" t="s">
        <v>148</v>
      </c>
      <c r="G143" s="20" t="s">
        <v>142</v>
      </c>
      <c r="H143" s="27">
        <f>ROUND(600,2)</f>
        <v>600</v>
      </c>
      <c r="I143" s="27">
        <v>600</v>
      </c>
      <c r="J143" s="27">
        <v>600</v>
      </c>
      <c r="K143" s="27">
        <f>J143</f>
        <v>600</v>
      </c>
      <c r="L143" s="27">
        <f>K143</f>
        <v>600</v>
      </c>
      <c r="M143" s="6">
        <f>SUM(H143:L143)</f>
        <v>3000</v>
      </c>
    </row>
    <row r="144" spans="1:14" ht="28.5" customHeight="1" x14ac:dyDescent="0.25">
      <c r="A144" s="60" t="s">
        <v>149</v>
      </c>
      <c r="B144" s="73" t="s">
        <v>150</v>
      </c>
      <c r="C144" s="19" t="s">
        <v>13</v>
      </c>
      <c r="D144" s="4" t="s">
        <v>14</v>
      </c>
      <c r="E144" s="4" t="s">
        <v>14</v>
      </c>
      <c r="F144" s="4" t="s">
        <v>14</v>
      </c>
      <c r="G144" s="4" t="s">
        <v>14</v>
      </c>
      <c r="H144" s="6">
        <f>SUM(H146:H151)</f>
        <v>11038.61</v>
      </c>
      <c r="I144" s="6">
        <f>SUM(I146:I151)</f>
        <v>11324.811799999998</v>
      </c>
      <c r="J144" s="6">
        <f>SUM(J146:J151)</f>
        <v>11297.07</v>
      </c>
      <c r="K144" s="6">
        <f>SUM(K146:K151)</f>
        <v>11300.039999999999</v>
      </c>
      <c r="L144" s="6">
        <f>SUM(L146:L151)</f>
        <v>11300.039999999999</v>
      </c>
      <c r="M144" s="6">
        <f t="shared" ref="M144:M151" si="8">SUM(H144:L144)</f>
        <v>56260.571799999998</v>
      </c>
    </row>
    <row r="145" spans="1:14" ht="15" customHeight="1" x14ac:dyDescent="0.25">
      <c r="A145" s="61"/>
      <c r="B145" s="74"/>
      <c r="C145" s="19" t="s">
        <v>15</v>
      </c>
      <c r="D145" s="4"/>
      <c r="E145" s="4"/>
      <c r="F145" s="4"/>
      <c r="G145" s="4"/>
      <c r="H145" s="6"/>
      <c r="I145" s="6"/>
      <c r="J145" s="6"/>
      <c r="K145" s="6"/>
      <c r="L145" s="6"/>
      <c r="M145" s="6"/>
    </row>
    <row r="146" spans="1:14" ht="30" customHeight="1" x14ac:dyDescent="0.25">
      <c r="A146" s="61"/>
      <c r="B146" s="74"/>
      <c r="C146" s="60" t="s">
        <v>28</v>
      </c>
      <c r="D146" s="20" t="s">
        <v>32</v>
      </c>
      <c r="E146" s="20" t="s">
        <v>42</v>
      </c>
      <c r="F146" s="20" t="s">
        <v>151</v>
      </c>
      <c r="G146" s="20" t="s">
        <v>137</v>
      </c>
      <c r="H146" s="27">
        <f>ROUND(6638.15089+1871.916,2)</f>
        <v>8510.07</v>
      </c>
      <c r="I146" s="27">
        <v>8657.5499999999993</v>
      </c>
      <c r="J146" s="27">
        <f>ROUND(7386.076+2230.595-784.178-236.822-2.28-0.689,2)</f>
        <v>8592.7000000000007</v>
      </c>
      <c r="K146" s="27">
        <f>ROUND(7386.076+2230.595-784.178-236.822,2)</f>
        <v>8595.67</v>
      </c>
      <c r="L146" s="27">
        <f>ROUND(7386.076+2230.595-784.178-236.822,2)</f>
        <v>8595.67</v>
      </c>
      <c r="M146" s="6">
        <f t="shared" si="8"/>
        <v>42951.659999999996</v>
      </c>
    </row>
    <row r="147" spans="1:14" ht="31.5" customHeight="1" x14ac:dyDescent="0.25">
      <c r="A147" s="61"/>
      <c r="B147" s="74"/>
      <c r="C147" s="61"/>
      <c r="D147" s="20" t="s">
        <v>32</v>
      </c>
      <c r="E147" s="20" t="s">
        <v>42</v>
      </c>
      <c r="F147" s="20" t="s">
        <v>151</v>
      </c>
      <c r="G147" s="20" t="s">
        <v>152</v>
      </c>
      <c r="H147" s="27">
        <f>ROUND(8.5+3.4,2)</f>
        <v>11.9</v>
      </c>
      <c r="I147" s="27">
        <v>19.71</v>
      </c>
      <c r="J147" s="27">
        <f>ROUND(34.32+30,2)</f>
        <v>64.319999999999993</v>
      </c>
      <c r="K147" s="27">
        <f>J147</f>
        <v>64.319999999999993</v>
      </c>
      <c r="L147" s="27">
        <f>K147</f>
        <v>64.319999999999993</v>
      </c>
      <c r="M147" s="6">
        <f t="shared" si="8"/>
        <v>224.57</v>
      </c>
    </row>
    <row r="148" spans="1:14" ht="36" customHeight="1" x14ac:dyDescent="0.25">
      <c r="A148" s="61"/>
      <c r="B148" s="74"/>
      <c r="C148" s="61"/>
      <c r="D148" s="20" t="s">
        <v>32</v>
      </c>
      <c r="E148" s="20" t="s">
        <v>42</v>
      </c>
      <c r="F148" s="20" t="s">
        <v>151</v>
      </c>
      <c r="G148" s="20" t="s">
        <v>35</v>
      </c>
      <c r="H148" s="27">
        <f>ROUND(229.35693+108.05325+145+506.55007+160.3+414.093,2)</f>
        <v>1563.35</v>
      </c>
      <c r="I148" s="27">
        <v>1818.68</v>
      </c>
      <c r="J148" s="27">
        <f>ROUND(220+154.89469+226.10888+640+55.3+590-30,2)</f>
        <v>1856.3</v>
      </c>
      <c r="K148" s="27">
        <f>ROUND(220+154.89469+226.10888+640+55.3+590-30,2)</f>
        <v>1856.3</v>
      </c>
      <c r="L148" s="27">
        <f>ROUND(220+154.89469+226.10888+640+55.3+590-30,2)</f>
        <v>1856.3</v>
      </c>
      <c r="M148" s="6">
        <f>SUM(H148:L148)</f>
        <v>8950.93</v>
      </c>
    </row>
    <row r="149" spans="1:14" ht="30" customHeight="1" x14ac:dyDescent="0.25">
      <c r="A149" s="61"/>
      <c r="B149" s="74"/>
      <c r="C149" s="62"/>
      <c r="D149" s="20" t="s">
        <v>32</v>
      </c>
      <c r="E149" s="20" t="s">
        <v>42</v>
      </c>
      <c r="F149" s="20" t="s">
        <v>153</v>
      </c>
      <c r="G149" s="20" t="s">
        <v>154</v>
      </c>
      <c r="H149" s="27">
        <f>ROUND(178.03,2)</f>
        <v>178.03</v>
      </c>
      <c r="I149" s="27">
        <v>36.241799999999998</v>
      </c>
      <c r="J149" s="27">
        <v>0</v>
      </c>
      <c r="K149" s="27">
        <v>0</v>
      </c>
      <c r="L149" s="27">
        <v>0</v>
      </c>
      <c r="M149" s="6">
        <f>SUM(H149:L149)</f>
        <v>214.27179999999998</v>
      </c>
    </row>
    <row r="150" spans="1:14" ht="35.25" customHeight="1" x14ac:dyDescent="0.25">
      <c r="A150" s="61"/>
      <c r="B150" s="74"/>
      <c r="C150" s="60" t="s">
        <v>92</v>
      </c>
      <c r="D150" s="20" t="s">
        <v>17</v>
      </c>
      <c r="E150" s="20" t="s">
        <v>42</v>
      </c>
      <c r="F150" s="20" t="s">
        <v>151</v>
      </c>
      <c r="G150" s="20" t="s">
        <v>138</v>
      </c>
      <c r="H150" s="27">
        <f>ROUND(424.26981+162.21819,2)</f>
        <v>586.49</v>
      </c>
      <c r="I150" s="27">
        <v>504.9</v>
      </c>
      <c r="J150" s="27">
        <f>ROUND(448.175+135.43885,2)</f>
        <v>583.61</v>
      </c>
      <c r="K150" s="27">
        <f>J150</f>
        <v>583.61</v>
      </c>
      <c r="L150" s="27">
        <f>K150</f>
        <v>583.61</v>
      </c>
      <c r="M150" s="6">
        <f t="shared" si="8"/>
        <v>2842.2200000000003</v>
      </c>
      <c r="N150" s="84"/>
    </row>
    <row r="151" spans="1:14" ht="36" customHeight="1" x14ac:dyDescent="0.25">
      <c r="A151" s="62"/>
      <c r="B151" s="75"/>
      <c r="C151" s="62"/>
      <c r="D151" s="20" t="s">
        <v>17</v>
      </c>
      <c r="E151" s="20" t="s">
        <v>42</v>
      </c>
      <c r="F151" s="20" t="s">
        <v>151</v>
      </c>
      <c r="G151" s="20" t="s">
        <v>35</v>
      </c>
      <c r="H151" s="27">
        <f>ROUND(44.386+144.385,2)</f>
        <v>188.77</v>
      </c>
      <c r="I151" s="27">
        <v>287.73</v>
      </c>
      <c r="J151" s="27">
        <f>ROUND(200.143,2)</f>
        <v>200.14</v>
      </c>
      <c r="K151" s="27">
        <f>J151</f>
        <v>200.14</v>
      </c>
      <c r="L151" s="27">
        <f>K151</f>
        <v>200.14</v>
      </c>
      <c r="M151" s="6">
        <f t="shared" si="8"/>
        <v>1076.92</v>
      </c>
      <c r="N151" s="84"/>
    </row>
    <row r="152" spans="1:14" ht="31.5" customHeight="1" x14ac:dyDescent="0.25">
      <c r="A152" s="60" t="s">
        <v>155</v>
      </c>
      <c r="B152" s="73" t="s">
        <v>156</v>
      </c>
      <c r="C152" s="19" t="s">
        <v>13</v>
      </c>
      <c r="D152" s="4" t="s">
        <v>14</v>
      </c>
      <c r="E152" s="4" t="s">
        <v>14</v>
      </c>
      <c r="F152" s="4" t="s">
        <v>14</v>
      </c>
      <c r="G152" s="4" t="s">
        <v>14</v>
      </c>
      <c r="H152" s="6">
        <f>SUM(H154)</f>
        <v>124.1</v>
      </c>
      <c r="I152" s="6">
        <f>SUM(I154)</f>
        <v>124.1</v>
      </c>
      <c r="J152" s="6">
        <f>SUM(J154)</f>
        <v>124.1</v>
      </c>
      <c r="K152" s="6">
        <f>SUM(K154)</f>
        <v>124.1</v>
      </c>
      <c r="L152" s="6">
        <f>SUM(L154)</f>
        <v>124.1</v>
      </c>
      <c r="M152" s="6">
        <f>SUM(H152:L152)</f>
        <v>620.5</v>
      </c>
    </row>
    <row r="153" spans="1:14" ht="16.5" customHeight="1" x14ac:dyDescent="0.25">
      <c r="A153" s="61"/>
      <c r="B153" s="74"/>
      <c r="C153" s="19" t="s">
        <v>15</v>
      </c>
      <c r="D153" s="4"/>
      <c r="E153" s="4"/>
      <c r="F153" s="4"/>
      <c r="G153" s="4"/>
      <c r="H153" s="6"/>
      <c r="I153" s="6"/>
      <c r="J153" s="6"/>
      <c r="K153" s="6"/>
      <c r="L153" s="6"/>
      <c r="M153" s="6"/>
    </row>
    <row r="154" spans="1:14" ht="209.25" customHeight="1" x14ac:dyDescent="0.25">
      <c r="A154" s="62"/>
      <c r="B154" s="75"/>
      <c r="C154" s="19" t="s">
        <v>28</v>
      </c>
      <c r="D154" s="20" t="s">
        <v>32</v>
      </c>
      <c r="E154" s="20" t="s">
        <v>42</v>
      </c>
      <c r="F154" s="20" t="s">
        <v>157</v>
      </c>
      <c r="G154" s="20" t="s">
        <v>35</v>
      </c>
      <c r="H154" s="27">
        <f>ROUND(124.1,2)</f>
        <v>124.1</v>
      </c>
      <c r="I154" s="27">
        <f>H154</f>
        <v>124.1</v>
      </c>
      <c r="J154" s="27">
        <f>I154</f>
        <v>124.1</v>
      </c>
      <c r="K154" s="27">
        <f>J154</f>
        <v>124.1</v>
      </c>
      <c r="L154" s="27">
        <f>K154</f>
        <v>124.1</v>
      </c>
      <c r="M154" s="6">
        <f>SUM(H154:L154)</f>
        <v>620.5</v>
      </c>
    </row>
    <row r="155" spans="1:14" ht="44.25" customHeight="1" x14ac:dyDescent="0.25">
      <c r="A155" s="60" t="s">
        <v>158</v>
      </c>
      <c r="B155" s="60" t="s">
        <v>159</v>
      </c>
      <c r="C155" s="19" t="s">
        <v>13</v>
      </c>
      <c r="D155" s="4" t="s">
        <v>14</v>
      </c>
      <c r="E155" s="4" t="s">
        <v>14</v>
      </c>
      <c r="F155" s="4" t="s">
        <v>14</v>
      </c>
      <c r="G155" s="4" t="s">
        <v>14</v>
      </c>
      <c r="H155" s="6">
        <f>SUM(H157:H158)</f>
        <v>59.11</v>
      </c>
      <c r="I155" s="6">
        <f>SUM(I157:I158)</f>
        <v>119.15</v>
      </c>
      <c r="J155" s="6">
        <f>SUM(J157:J158)</f>
        <v>323.53999999999996</v>
      </c>
      <c r="K155" s="6">
        <f>SUM(K157:K158)</f>
        <v>323.53999999999996</v>
      </c>
      <c r="L155" s="6">
        <f>SUM(L157:L158)</f>
        <v>323.53999999999996</v>
      </c>
      <c r="M155" s="6">
        <f>SUM(H155:L155)</f>
        <v>1148.8799999999999</v>
      </c>
    </row>
    <row r="156" spans="1:14" ht="32.25" customHeight="1" x14ac:dyDescent="0.25">
      <c r="A156" s="61"/>
      <c r="B156" s="61"/>
      <c r="C156" s="19" t="s">
        <v>15</v>
      </c>
      <c r="D156" s="4"/>
      <c r="E156" s="4"/>
      <c r="F156" s="4"/>
      <c r="G156" s="4"/>
      <c r="H156" s="6"/>
      <c r="I156" s="6"/>
      <c r="J156" s="6"/>
      <c r="K156" s="6"/>
      <c r="L156" s="6"/>
      <c r="M156" s="6"/>
    </row>
    <row r="157" spans="1:14" ht="33" customHeight="1" x14ac:dyDescent="0.25">
      <c r="A157" s="61"/>
      <c r="B157" s="61"/>
      <c r="C157" s="19" t="s">
        <v>92</v>
      </c>
      <c r="D157" s="20" t="s">
        <v>17</v>
      </c>
      <c r="E157" s="20" t="s">
        <v>42</v>
      </c>
      <c r="F157" s="20" t="s">
        <v>160</v>
      </c>
      <c r="G157" s="20" t="s">
        <v>138</v>
      </c>
      <c r="H157" s="27">
        <f>ROUND(45.395+13.71,2)</f>
        <v>59.11</v>
      </c>
      <c r="I157" s="27">
        <v>119.15</v>
      </c>
      <c r="J157" s="27">
        <f>ROUND(212.624+64.212,2)</f>
        <v>276.83999999999997</v>
      </c>
      <c r="K157" s="27">
        <f>J157</f>
        <v>276.83999999999997</v>
      </c>
      <c r="L157" s="27">
        <f>K157</f>
        <v>276.83999999999997</v>
      </c>
      <c r="M157" s="6">
        <f>SUM(H157:L157)</f>
        <v>1008.78</v>
      </c>
    </row>
    <row r="158" spans="1:14" ht="33" customHeight="1" x14ac:dyDescent="0.25">
      <c r="A158" s="62"/>
      <c r="B158" s="62"/>
      <c r="C158" s="19" t="s">
        <v>28</v>
      </c>
      <c r="D158" s="20" t="s">
        <v>32</v>
      </c>
      <c r="E158" s="20" t="s">
        <v>42</v>
      </c>
      <c r="F158" s="20" t="s">
        <v>160</v>
      </c>
      <c r="G158" s="20" t="s">
        <v>137</v>
      </c>
      <c r="H158" s="27">
        <v>0</v>
      </c>
      <c r="I158" s="27">
        <v>0</v>
      </c>
      <c r="J158" s="27">
        <f>ROUND(35.868+10.832,2)</f>
        <v>46.7</v>
      </c>
      <c r="K158" s="27">
        <f>ROUND(35.868+10.832,2)</f>
        <v>46.7</v>
      </c>
      <c r="L158" s="27">
        <f>ROUND(35.868+10.832,2)</f>
        <v>46.7</v>
      </c>
      <c r="M158" s="6">
        <f>SUM(H158:L158)</f>
        <v>140.10000000000002</v>
      </c>
    </row>
    <row r="159" spans="1:14" ht="30" customHeight="1" x14ac:dyDescent="0.25">
      <c r="A159" s="60" t="s">
        <v>161</v>
      </c>
      <c r="B159" s="73" t="s">
        <v>162</v>
      </c>
      <c r="C159" s="19" t="s">
        <v>13</v>
      </c>
      <c r="D159" s="4" t="s">
        <v>14</v>
      </c>
      <c r="E159" s="4" t="s">
        <v>14</v>
      </c>
      <c r="F159" s="4" t="s">
        <v>14</v>
      </c>
      <c r="G159" s="4" t="s">
        <v>14</v>
      </c>
      <c r="H159" s="6">
        <f>SUM(H161)</f>
        <v>2288.5</v>
      </c>
      <c r="I159" s="6">
        <f>SUM(I161)</f>
        <v>0</v>
      </c>
      <c r="J159" s="6">
        <f>SUM(J161)</f>
        <v>0</v>
      </c>
      <c r="K159" s="6">
        <f>SUM(K161)</f>
        <v>0</v>
      </c>
      <c r="L159" s="6">
        <f>SUM(L161)</f>
        <v>0</v>
      </c>
      <c r="M159" s="6">
        <f>SUM(H159:L159)</f>
        <v>2288.5</v>
      </c>
    </row>
    <row r="160" spans="1:14" ht="15" customHeight="1" x14ac:dyDescent="0.25">
      <c r="A160" s="61"/>
      <c r="B160" s="74"/>
      <c r="C160" s="19" t="s">
        <v>15</v>
      </c>
      <c r="D160" s="4"/>
      <c r="E160" s="4"/>
      <c r="F160" s="4"/>
      <c r="G160" s="4"/>
      <c r="H160" s="6"/>
      <c r="I160" s="6"/>
      <c r="J160" s="6"/>
      <c r="K160" s="6"/>
      <c r="L160" s="6"/>
      <c r="M160" s="6"/>
    </row>
    <row r="161" spans="1:13" ht="17.25" customHeight="1" x14ac:dyDescent="0.25">
      <c r="A161" s="62"/>
      <c r="B161" s="75"/>
      <c r="C161" s="19" t="str">
        <f>C154</f>
        <v>МКУ "СГХ"</v>
      </c>
      <c r="D161" s="20" t="s">
        <v>32</v>
      </c>
      <c r="E161" s="20" t="s">
        <v>42</v>
      </c>
      <c r="F161" s="20" t="s">
        <v>163</v>
      </c>
      <c r="G161" s="20" t="s">
        <v>35</v>
      </c>
      <c r="H161" s="27">
        <v>2288.5</v>
      </c>
      <c r="I161" s="27">
        <v>0</v>
      </c>
      <c r="J161" s="27">
        <v>0</v>
      </c>
      <c r="K161" s="27">
        <v>0</v>
      </c>
      <c r="L161" s="27">
        <v>0</v>
      </c>
      <c r="M161" s="6">
        <f>SUM(H161:L161)</f>
        <v>2288.5</v>
      </c>
    </row>
    <row r="162" spans="1:13" ht="206.25" customHeight="1" x14ac:dyDescent="0.25">
      <c r="A162" s="60" t="s">
        <v>164</v>
      </c>
      <c r="B162" s="73" t="s">
        <v>165</v>
      </c>
      <c r="C162" s="19" t="s">
        <v>13</v>
      </c>
      <c r="D162" s="4" t="s">
        <v>14</v>
      </c>
      <c r="E162" s="4" t="s">
        <v>14</v>
      </c>
      <c r="F162" s="4" t="s">
        <v>14</v>
      </c>
      <c r="G162" s="4" t="s">
        <v>14</v>
      </c>
      <c r="H162" s="27">
        <f>H164</f>
        <v>8600</v>
      </c>
      <c r="I162" s="27">
        <f>I164</f>
        <v>3928.5</v>
      </c>
      <c r="J162" s="27">
        <f>J164</f>
        <v>0</v>
      </c>
      <c r="K162" s="27">
        <f>K164</f>
        <v>0</v>
      </c>
      <c r="L162" s="27">
        <f>L164</f>
        <v>0</v>
      </c>
      <c r="M162" s="6">
        <f>SUM(H162:L162)</f>
        <v>12528.5</v>
      </c>
    </row>
    <row r="163" spans="1:13" ht="17.25" customHeight="1" x14ac:dyDescent="0.25">
      <c r="A163" s="61"/>
      <c r="B163" s="74"/>
      <c r="C163" s="19" t="s">
        <v>15</v>
      </c>
      <c r="D163" s="20"/>
      <c r="E163" s="20"/>
      <c r="F163" s="20"/>
      <c r="G163" s="20"/>
      <c r="H163" s="27"/>
      <c r="I163" s="27"/>
      <c r="J163" s="27"/>
      <c r="K163" s="27"/>
      <c r="L163" s="27"/>
      <c r="M163" s="6"/>
    </row>
    <row r="164" spans="1:13" ht="17.25" customHeight="1" x14ac:dyDescent="0.25">
      <c r="A164" s="62"/>
      <c r="B164" s="75"/>
      <c r="C164" s="19" t="s">
        <v>28</v>
      </c>
      <c r="D164" s="20" t="s">
        <v>32</v>
      </c>
      <c r="E164" s="20" t="s">
        <v>42</v>
      </c>
      <c r="F164" s="20" t="s">
        <v>166</v>
      </c>
      <c r="G164" s="20" t="s">
        <v>35</v>
      </c>
      <c r="H164" s="27">
        <v>8600</v>
      </c>
      <c r="I164" s="27">
        <v>3928.5</v>
      </c>
      <c r="J164" s="27">
        <v>0</v>
      </c>
      <c r="K164" s="27">
        <v>0</v>
      </c>
      <c r="L164" s="27">
        <v>0</v>
      </c>
      <c r="M164" s="6">
        <f>SUM(H164:L164)</f>
        <v>12528.5</v>
      </c>
    </row>
    <row r="165" spans="1:13" ht="49.5" customHeight="1" x14ac:dyDescent="0.25">
      <c r="A165" s="60" t="s">
        <v>167</v>
      </c>
      <c r="B165" s="73" t="s">
        <v>168</v>
      </c>
      <c r="C165" s="19" t="s">
        <v>13</v>
      </c>
      <c r="D165" s="4" t="s">
        <v>14</v>
      </c>
      <c r="E165" s="4" t="s">
        <v>14</v>
      </c>
      <c r="F165" s="4" t="s">
        <v>14</v>
      </c>
      <c r="G165" s="4" t="s">
        <v>14</v>
      </c>
      <c r="H165" s="6">
        <f>SUM(H167)</f>
        <v>823.12</v>
      </c>
      <c r="I165" s="6">
        <f>SUM(I167)</f>
        <v>3923.08</v>
      </c>
      <c r="J165" s="6">
        <f>SUM(J167)</f>
        <v>4200.6000000000004</v>
      </c>
      <c r="K165" s="6">
        <f>SUM(K167)</f>
        <v>4200.6000000000004</v>
      </c>
      <c r="L165" s="6">
        <f>SUM(L167)</f>
        <v>4200.6000000000004</v>
      </c>
      <c r="M165" s="6">
        <f>SUM(H165:L165)</f>
        <v>17348</v>
      </c>
    </row>
    <row r="166" spans="1:13" ht="66" customHeight="1" x14ac:dyDescent="0.25">
      <c r="A166" s="61"/>
      <c r="B166" s="74"/>
      <c r="C166" s="19" t="s">
        <v>15</v>
      </c>
      <c r="D166" s="4"/>
      <c r="E166" s="4"/>
      <c r="F166" s="4"/>
      <c r="G166" s="4"/>
      <c r="H166" s="6"/>
      <c r="I166" s="6"/>
      <c r="J166" s="6"/>
      <c r="K166" s="6"/>
      <c r="L166" s="6"/>
      <c r="M166" s="6"/>
    </row>
    <row r="167" spans="1:13" ht="101.25" customHeight="1" x14ac:dyDescent="0.25">
      <c r="A167" s="62"/>
      <c r="B167" s="75"/>
      <c r="C167" s="19" t="s">
        <v>23</v>
      </c>
      <c r="D167" s="20" t="s">
        <v>24</v>
      </c>
      <c r="E167" s="20" t="s">
        <v>33</v>
      </c>
      <c r="F167" s="20" t="s">
        <v>169</v>
      </c>
      <c r="G167" s="20" t="s">
        <v>170</v>
      </c>
      <c r="H167" s="27">
        <f>ROUND(823.119,2)</f>
        <v>823.12</v>
      </c>
      <c r="I167" s="27">
        <v>3923.08</v>
      </c>
      <c r="J167" s="27">
        <v>4200.6000000000004</v>
      </c>
      <c r="K167" s="27">
        <f>J167</f>
        <v>4200.6000000000004</v>
      </c>
      <c r="L167" s="27">
        <f>K167</f>
        <v>4200.6000000000004</v>
      </c>
      <c r="M167" s="6">
        <f>SUM(H167:L167)</f>
        <v>17348</v>
      </c>
    </row>
    <row r="168" spans="1:13" ht="32.25" customHeight="1" x14ac:dyDescent="0.25">
      <c r="A168" s="60" t="s">
        <v>171</v>
      </c>
      <c r="B168" s="73" t="s">
        <v>172</v>
      </c>
      <c r="C168" s="19" t="s">
        <v>13</v>
      </c>
      <c r="D168" s="4" t="s">
        <v>14</v>
      </c>
      <c r="E168" s="4" t="s">
        <v>14</v>
      </c>
      <c r="F168" s="4" t="s">
        <v>14</v>
      </c>
      <c r="G168" s="4" t="s">
        <v>14</v>
      </c>
      <c r="H168" s="6">
        <f>SUM(H170)</f>
        <v>0</v>
      </c>
      <c r="I168" s="6">
        <f>SUM(I170)</f>
        <v>4227.32</v>
      </c>
      <c r="J168" s="6">
        <f>SUM(J170)</f>
        <v>10793.7</v>
      </c>
      <c r="K168" s="6">
        <f>SUM(K170)</f>
        <v>10793.7</v>
      </c>
      <c r="L168" s="6">
        <f>SUM(L170)</f>
        <v>10793.7</v>
      </c>
      <c r="M168" s="6">
        <f>SUM(H168:L168)</f>
        <v>36608.42</v>
      </c>
    </row>
    <row r="169" spans="1:13" ht="17.25" customHeight="1" x14ac:dyDescent="0.25">
      <c r="A169" s="61"/>
      <c r="B169" s="74"/>
      <c r="C169" s="19" t="s">
        <v>15</v>
      </c>
      <c r="D169" s="4"/>
      <c r="E169" s="4"/>
      <c r="F169" s="4"/>
      <c r="G169" s="4"/>
      <c r="H169" s="6"/>
      <c r="I169" s="6"/>
      <c r="J169" s="6"/>
      <c r="K169" s="6"/>
      <c r="L169" s="6"/>
      <c r="M169" s="6"/>
    </row>
    <row r="170" spans="1:13" ht="48.75" customHeight="1" x14ac:dyDescent="0.25">
      <c r="A170" s="62"/>
      <c r="B170" s="75"/>
      <c r="C170" s="19" t="s">
        <v>28</v>
      </c>
      <c r="D170" s="20" t="s">
        <v>32</v>
      </c>
      <c r="E170" s="20" t="s">
        <v>47</v>
      </c>
      <c r="F170" s="20" t="s">
        <v>173</v>
      </c>
      <c r="G170" s="20" t="s">
        <v>142</v>
      </c>
      <c r="H170" s="27">
        <v>0</v>
      </c>
      <c r="I170" s="27">
        <v>4227.32</v>
      </c>
      <c r="J170" s="27">
        <f>ROUND(10793.7,2)</f>
        <v>10793.7</v>
      </c>
      <c r="K170" s="27">
        <f>J170</f>
        <v>10793.7</v>
      </c>
      <c r="L170" s="27">
        <f>K170</f>
        <v>10793.7</v>
      </c>
      <c r="M170" s="6">
        <f>SUM(H170:L170)</f>
        <v>36608.42</v>
      </c>
    </row>
    <row r="171" spans="1:13" ht="29.25" customHeight="1" x14ac:dyDescent="0.25">
      <c r="A171" s="60" t="s">
        <v>174</v>
      </c>
      <c r="B171" s="60" t="s">
        <v>175</v>
      </c>
      <c r="C171" s="19" t="s">
        <v>13</v>
      </c>
      <c r="D171" s="4" t="s">
        <v>14</v>
      </c>
      <c r="E171" s="4" t="s">
        <v>14</v>
      </c>
      <c r="F171" s="4" t="s">
        <v>14</v>
      </c>
      <c r="G171" s="4" t="s">
        <v>14</v>
      </c>
      <c r="H171" s="6">
        <f>SUM(H173)</f>
        <v>8.6199999999999992</v>
      </c>
      <c r="I171" s="6">
        <f>SUM(I173)</f>
        <v>0</v>
      </c>
      <c r="J171" s="6">
        <f>SUM(J173:J173)</f>
        <v>0</v>
      </c>
      <c r="K171" s="6">
        <f>SUM(K173:K173)</f>
        <v>0</v>
      </c>
      <c r="L171" s="6">
        <f>SUM(L173:L173)</f>
        <v>0</v>
      </c>
      <c r="M171" s="6">
        <f>SUM(H171:L171)</f>
        <v>8.6199999999999992</v>
      </c>
    </row>
    <row r="172" spans="1:13" ht="18" customHeight="1" x14ac:dyDescent="0.25">
      <c r="A172" s="61"/>
      <c r="B172" s="61"/>
      <c r="C172" s="19" t="s">
        <v>15</v>
      </c>
      <c r="D172" s="4"/>
      <c r="E172" s="4"/>
      <c r="F172" s="4"/>
      <c r="G172" s="4"/>
      <c r="H172" s="6"/>
      <c r="I172" s="6"/>
      <c r="J172" s="6"/>
      <c r="K172" s="6"/>
      <c r="L172" s="6"/>
      <c r="M172" s="6"/>
    </row>
    <row r="173" spans="1:13" ht="68.25" customHeight="1" x14ac:dyDescent="0.25">
      <c r="A173" s="61"/>
      <c r="B173" s="61"/>
      <c r="C173" s="19" t="s">
        <v>92</v>
      </c>
      <c r="D173" s="20" t="s">
        <v>17</v>
      </c>
      <c r="E173" s="20" t="s">
        <v>42</v>
      </c>
      <c r="F173" s="20" t="s">
        <v>176</v>
      </c>
      <c r="G173" s="20" t="s">
        <v>177</v>
      </c>
      <c r="H173" s="27">
        <f>ROUND(6.617+1.998,2)</f>
        <v>8.6199999999999992</v>
      </c>
      <c r="I173" s="27">
        <v>0</v>
      </c>
      <c r="J173" s="27">
        <f>I173</f>
        <v>0</v>
      </c>
      <c r="K173" s="27">
        <f>J173</f>
        <v>0</v>
      </c>
      <c r="L173" s="27">
        <f>K173</f>
        <v>0</v>
      </c>
      <c r="M173" s="6">
        <f>SUM(H173:L173)</f>
        <v>8.6199999999999992</v>
      </c>
    </row>
    <row r="174" spans="1:13" ht="25.5" customHeight="1" x14ac:dyDescent="0.25">
      <c r="A174" s="60" t="s">
        <v>178</v>
      </c>
      <c r="B174" s="73" t="s">
        <v>179</v>
      </c>
      <c r="C174" s="19" t="s">
        <v>13</v>
      </c>
      <c r="D174" s="4" t="s">
        <v>14</v>
      </c>
      <c r="E174" s="4" t="s">
        <v>14</v>
      </c>
      <c r="F174" s="4" t="s">
        <v>14</v>
      </c>
      <c r="G174" s="4" t="s">
        <v>14</v>
      </c>
      <c r="H174" s="6">
        <f>SUM(H176)</f>
        <v>0</v>
      </c>
      <c r="I174" s="6">
        <f>SUM(I176)</f>
        <v>350.25</v>
      </c>
      <c r="J174" s="6">
        <f>SUM(J176)</f>
        <v>0</v>
      </c>
      <c r="K174" s="6">
        <f>SUM(K176)</f>
        <v>0</v>
      </c>
      <c r="L174" s="6">
        <f>SUM(L176)</f>
        <v>0</v>
      </c>
      <c r="M174" s="6">
        <f>SUM(H174:L174)</f>
        <v>350.25</v>
      </c>
    </row>
    <row r="175" spans="1:13" ht="18" customHeight="1" x14ac:dyDescent="0.25">
      <c r="A175" s="61"/>
      <c r="B175" s="74"/>
      <c r="C175" s="19" t="s">
        <v>15</v>
      </c>
      <c r="D175" s="4"/>
      <c r="E175" s="4"/>
      <c r="F175" s="4"/>
      <c r="G175" s="4"/>
      <c r="H175" s="6"/>
      <c r="I175" s="6"/>
      <c r="J175" s="6"/>
      <c r="K175" s="6"/>
      <c r="L175" s="6"/>
      <c r="M175" s="6"/>
    </row>
    <row r="176" spans="1:13" ht="22.5" customHeight="1" x14ac:dyDescent="0.25">
      <c r="A176" s="62"/>
      <c r="B176" s="75"/>
      <c r="C176" s="19" t="s">
        <v>28</v>
      </c>
      <c r="D176" s="20" t="s">
        <v>32</v>
      </c>
      <c r="E176" s="20" t="s">
        <v>42</v>
      </c>
      <c r="F176" s="20" t="s">
        <v>180</v>
      </c>
      <c r="G176" s="20" t="s">
        <v>35</v>
      </c>
      <c r="H176" s="27">
        <v>0</v>
      </c>
      <c r="I176" s="27">
        <f>ROUND(299.07-39.07+90.252,2)</f>
        <v>350.25</v>
      </c>
      <c r="J176" s="27">
        <v>0</v>
      </c>
      <c r="K176" s="27">
        <v>0</v>
      </c>
      <c r="L176" s="27">
        <v>0</v>
      </c>
      <c r="M176" s="6">
        <f>SUM(H176:L176)</f>
        <v>350.25</v>
      </c>
    </row>
    <row r="177" spans="1:13" ht="54" customHeight="1" x14ac:dyDescent="0.25">
      <c r="A177" s="60" t="s">
        <v>181</v>
      </c>
      <c r="B177" s="73" t="s">
        <v>165</v>
      </c>
      <c r="C177" s="19" t="s">
        <v>13</v>
      </c>
      <c r="D177" s="4" t="s">
        <v>14</v>
      </c>
      <c r="E177" s="4" t="s">
        <v>14</v>
      </c>
      <c r="F177" s="4" t="s">
        <v>14</v>
      </c>
      <c r="G177" s="4" t="s">
        <v>14</v>
      </c>
      <c r="H177" s="6">
        <f>SUM(H179)</f>
        <v>0</v>
      </c>
      <c r="I177" s="6">
        <f>SUM(I179)</f>
        <v>7900</v>
      </c>
      <c r="J177" s="6">
        <f>SUM(J179)</f>
        <v>0</v>
      </c>
      <c r="K177" s="6">
        <f>SUM(K179)</f>
        <v>0</v>
      </c>
      <c r="L177" s="6">
        <f>SUM(L179)</f>
        <v>0</v>
      </c>
      <c r="M177" s="6">
        <f>SUM(H177:L177)</f>
        <v>7900</v>
      </c>
    </row>
    <row r="178" spans="1:13" ht="54" customHeight="1" x14ac:dyDescent="0.25">
      <c r="A178" s="61"/>
      <c r="B178" s="74"/>
      <c r="C178" s="19" t="s">
        <v>15</v>
      </c>
      <c r="D178" s="4"/>
      <c r="E178" s="4"/>
      <c r="F178" s="4"/>
      <c r="G178" s="4"/>
      <c r="H178" s="6"/>
      <c r="I178" s="6"/>
      <c r="J178" s="6"/>
      <c r="K178" s="6"/>
      <c r="L178" s="6"/>
      <c r="M178" s="6"/>
    </row>
    <row r="179" spans="1:13" ht="72.75" customHeight="1" x14ac:dyDescent="0.25">
      <c r="A179" s="62"/>
      <c r="B179" s="75"/>
      <c r="C179" s="19" t="s">
        <v>28</v>
      </c>
      <c r="D179" s="20" t="s">
        <v>32</v>
      </c>
      <c r="E179" s="20" t="s">
        <v>42</v>
      </c>
      <c r="F179" s="20" t="s">
        <v>166</v>
      </c>
      <c r="G179" s="20" t="s">
        <v>35</v>
      </c>
      <c r="H179" s="27">
        <v>0</v>
      </c>
      <c r="I179" s="27">
        <v>7900</v>
      </c>
      <c r="J179" s="27">
        <v>0</v>
      </c>
      <c r="K179" s="27">
        <v>0</v>
      </c>
      <c r="L179" s="27">
        <v>0</v>
      </c>
      <c r="M179" s="6">
        <f>SUM(H179:L179)</f>
        <v>7900</v>
      </c>
    </row>
    <row r="180" spans="1:13" ht="30.75" customHeight="1" x14ac:dyDescent="0.25">
      <c r="A180" s="60" t="s">
        <v>182</v>
      </c>
      <c r="B180" s="73" t="s">
        <v>183</v>
      </c>
      <c r="C180" s="19" t="s">
        <v>13</v>
      </c>
      <c r="D180" s="4" t="s">
        <v>14</v>
      </c>
      <c r="E180" s="4" t="s">
        <v>14</v>
      </c>
      <c r="F180" s="4" t="s">
        <v>14</v>
      </c>
      <c r="G180" s="4" t="s">
        <v>14</v>
      </c>
      <c r="H180" s="6">
        <f>SUM(H182)</f>
        <v>0</v>
      </c>
      <c r="I180" s="6">
        <f>SUM(I182)</f>
        <v>45</v>
      </c>
      <c r="J180" s="6">
        <f>SUM(J182)</f>
        <v>0</v>
      </c>
      <c r="K180" s="6">
        <f>SUM(K182)</f>
        <v>0</v>
      </c>
      <c r="L180" s="6">
        <f>SUM(L182)</f>
        <v>0</v>
      </c>
      <c r="M180" s="6">
        <f>SUM(H180:L180)</f>
        <v>45</v>
      </c>
    </row>
    <row r="181" spans="1:13" ht="21" customHeight="1" x14ac:dyDescent="0.25">
      <c r="A181" s="61"/>
      <c r="B181" s="74"/>
      <c r="C181" s="19" t="s">
        <v>15</v>
      </c>
      <c r="D181" s="4"/>
      <c r="E181" s="4"/>
      <c r="F181" s="4"/>
      <c r="G181" s="4"/>
      <c r="H181" s="6"/>
      <c r="I181" s="6"/>
      <c r="J181" s="6"/>
      <c r="K181" s="6"/>
      <c r="L181" s="6"/>
      <c r="M181" s="6"/>
    </row>
    <row r="182" spans="1:13" ht="23.25" customHeight="1" x14ac:dyDescent="0.25">
      <c r="A182" s="62"/>
      <c r="B182" s="75"/>
      <c r="C182" s="19" t="s">
        <v>28</v>
      </c>
      <c r="D182" s="20" t="s">
        <v>32</v>
      </c>
      <c r="E182" s="20" t="s">
        <v>42</v>
      </c>
      <c r="F182" s="20" t="s">
        <v>184</v>
      </c>
      <c r="G182" s="20" t="s">
        <v>35</v>
      </c>
      <c r="H182" s="27">
        <v>0</v>
      </c>
      <c r="I182" s="27">
        <v>45</v>
      </c>
      <c r="J182" s="27">
        <v>0</v>
      </c>
      <c r="K182" s="27">
        <v>0</v>
      </c>
      <c r="L182" s="27">
        <v>0</v>
      </c>
      <c r="M182" s="6">
        <f>SUM(H182:L182)</f>
        <v>45</v>
      </c>
    </row>
    <row r="183" spans="1:13" ht="31.5" customHeight="1" x14ac:dyDescent="0.25">
      <c r="A183" s="60" t="s">
        <v>185</v>
      </c>
      <c r="B183" s="73" t="s">
        <v>186</v>
      </c>
      <c r="C183" s="19" t="s">
        <v>13</v>
      </c>
      <c r="D183" s="4" t="s">
        <v>14</v>
      </c>
      <c r="E183" s="4" t="s">
        <v>14</v>
      </c>
      <c r="F183" s="4" t="s">
        <v>14</v>
      </c>
      <c r="G183" s="4" t="s">
        <v>14</v>
      </c>
      <c r="H183" s="6">
        <f>SUM(H185)</f>
        <v>0</v>
      </c>
      <c r="I183" s="6">
        <f>SUM(I185)</f>
        <v>54.5</v>
      </c>
      <c r="J183" s="6">
        <f>SUM(J185)</f>
        <v>0</v>
      </c>
      <c r="K183" s="6">
        <f>SUM(K185)</f>
        <v>0</v>
      </c>
      <c r="L183" s="6">
        <f>SUM(L185)</f>
        <v>0</v>
      </c>
      <c r="M183" s="6">
        <f>SUM(H183:L183)</f>
        <v>54.5</v>
      </c>
    </row>
    <row r="184" spans="1:13" ht="23.25" customHeight="1" x14ac:dyDescent="0.25">
      <c r="A184" s="61"/>
      <c r="B184" s="74"/>
      <c r="C184" s="19" t="s">
        <v>15</v>
      </c>
      <c r="D184" s="4"/>
      <c r="E184" s="4"/>
      <c r="F184" s="4"/>
      <c r="G184" s="4"/>
      <c r="H184" s="6"/>
      <c r="I184" s="6"/>
      <c r="J184" s="6"/>
      <c r="K184" s="6"/>
      <c r="L184" s="6"/>
      <c r="M184" s="6"/>
    </row>
    <row r="185" spans="1:13" ht="29.25" customHeight="1" x14ac:dyDescent="0.25">
      <c r="A185" s="62"/>
      <c r="B185" s="75"/>
      <c r="C185" s="19" t="s">
        <v>28</v>
      </c>
      <c r="D185" s="20" t="s">
        <v>32</v>
      </c>
      <c r="E185" s="20" t="s">
        <v>42</v>
      </c>
      <c r="F185" s="20" t="s">
        <v>187</v>
      </c>
      <c r="G185" s="20" t="s">
        <v>35</v>
      </c>
      <c r="H185" s="27">
        <v>0</v>
      </c>
      <c r="I185" s="27">
        <f>ROUND(54.499,2)</f>
        <v>54.5</v>
      </c>
      <c r="J185" s="27">
        <v>0</v>
      </c>
      <c r="K185" s="27">
        <v>0</v>
      </c>
      <c r="L185" s="27">
        <v>0</v>
      </c>
      <c r="M185" s="6">
        <f>SUM(H185:L185)</f>
        <v>54.5</v>
      </c>
    </row>
    <row r="186" spans="1:13" ht="29.25" customHeight="1" x14ac:dyDescent="0.25">
      <c r="A186" s="60" t="s">
        <v>188</v>
      </c>
      <c r="B186" s="60" t="s">
        <v>189</v>
      </c>
      <c r="C186" s="19" t="s">
        <v>13</v>
      </c>
      <c r="D186" s="4" t="s">
        <v>14</v>
      </c>
      <c r="E186" s="4" t="s">
        <v>14</v>
      </c>
      <c r="F186" s="4" t="s">
        <v>14</v>
      </c>
      <c r="G186" s="4" t="s">
        <v>14</v>
      </c>
      <c r="H186" s="6">
        <f>SUM(H188:H189)</f>
        <v>0</v>
      </c>
      <c r="I186" s="6">
        <f>SUM(I188:I189)</f>
        <v>0</v>
      </c>
      <c r="J186" s="6">
        <f>SUM(J188:J189)</f>
        <v>2.9689999999999999</v>
      </c>
      <c r="K186" s="6">
        <f>SUM(K188:K189)</f>
        <v>0</v>
      </c>
      <c r="L186" s="6">
        <f>SUM(L188:L189)</f>
        <v>0</v>
      </c>
      <c r="M186" s="6">
        <f>SUM(H186:L186)</f>
        <v>2.9689999999999999</v>
      </c>
    </row>
    <row r="187" spans="1:13" ht="29.25" customHeight="1" x14ac:dyDescent="0.25">
      <c r="A187" s="61"/>
      <c r="B187" s="61"/>
      <c r="C187" s="19" t="s">
        <v>15</v>
      </c>
      <c r="D187" s="20"/>
      <c r="E187" s="20"/>
      <c r="F187" s="20"/>
      <c r="G187" s="20"/>
      <c r="H187" s="6"/>
      <c r="I187" s="6"/>
      <c r="J187" s="6"/>
      <c r="K187" s="6"/>
      <c r="L187" s="6"/>
      <c r="M187" s="6"/>
    </row>
    <row r="188" spans="1:13" ht="29.25" customHeight="1" x14ac:dyDescent="0.25">
      <c r="A188" s="61"/>
      <c r="B188" s="61"/>
      <c r="C188" s="60" t="s">
        <v>28</v>
      </c>
      <c r="D188" s="20" t="s">
        <v>32</v>
      </c>
      <c r="E188" s="20" t="s">
        <v>42</v>
      </c>
      <c r="F188" s="20" t="s">
        <v>190</v>
      </c>
      <c r="G188" s="20" t="s">
        <v>191</v>
      </c>
      <c r="H188" s="27">
        <v>0</v>
      </c>
      <c r="I188" s="27">
        <v>0</v>
      </c>
      <c r="J188" s="27">
        <v>2.2799999999999998</v>
      </c>
      <c r="K188" s="27">
        <v>0</v>
      </c>
      <c r="L188" s="27">
        <v>0</v>
      </c>
      <c r="M188" s="6">
        <f>SUM(H188:L188)</f>
        <v>2.2799999999999998</v>
      </c>
    </row>
    <row r="189" spans="1:13" ht="29.25" customHeight="1" x14ac:dyDescent="0.25">
      <c r="A189" s="62"/>
      <c r="B189" s="62"/>
      <c r="C189" s="62"/>
      <c r="D189" s="20" t="s">
        <v>32</v>
      </c>
      <c r="E189" s="20" t="s">
        <v>42</v>
      </c>
      <c r="F189" s="20" t="s">
        <v>190</v>
      </c>
      <c r="G189" s="20" t="s">
        <v>192</v>
      </c>
      <c r="H189" s="6">
        <f>SUM(H191)</f>
        <v>0</v>
      </c>
      <c r="I189" s="6">
        <f>SUM(I191)</f>
        <v>0</v>
      </c>
      <c r="J189" s="6">
        <v>0.68899999999999995</v>
      </c>
      <c r="K189" s="6">
        <f>SUM(K191)</f>
        <v>0</v>
      </c>
      <c r="L189" s="6">
        <f>SUM(L191)</f>
        <v>0</v>
      </c>
      <c r="M189" s="6">
        <f>SUM(H189:L189)</f>
        <v>0.68899999999999995</v>
      </c>
    </row>
    <row r="190" spans="1:13" ht="29.25" customHeight="1" x14ac:dyDescent="0.25">
      <c r="A190" s="54" t="s">
        <v>193</v>
      </c>
      <c r="B190" s="57" t="s">
        <v>194</v>
      </c>
      <c r="C190" s="7" t="s">
        <v>13</v>
      </c>
      <c r="D190" s="8" t="s">
        <v>14</v>
      </c>
      <c r="E190" s="8" t="s">
        <v>14</v>
      </c>
      <c r="F190" s="8" t="s">
        <v>14</v>
      </c>
      <c r="G190" s="8" t="s">
        <v>14</v>
      </c>
      <c r="H190" s="9">
        <f>SUM(H192)</f>
        <v>0</v>
      </c>
      <c r="I190" s="9">
        <f>SUM(I192)</f>
        <v>0</v>
      </c>
      <c r="J190" s="9">
        <f>SUM(J192)</f>
        <v>195.5</v>
      </c>
      <c r="K190" s="9">
        <f>SUM(K192)</f>
        <v>0</v>
      </c>
      <c r="L190" s="9">
        <f>SUM(L192)</f>
        <v>0</v>
      </c>
      <c r="M190" s="9">
        <f>SUM(H190:L190)</f>
        <v>195.5</v>
      </c>
    </row>
    <row r="191" spans="1:13" ht="29.25" customHeight="1" x14ac:dyDescent="0.25">
      <c r="A191" s="55"/>
      <c r="B191" s="58"/>
      <c r="C191" s="7" t="s">
        <v>15</v>
      </c>
      <c r="D191" s="8"/>
      <c r="E191" s="8"/>
      <c r="F191" s="8"/>
      <c r="G191" s="8"/>
      <c r="H191" s="9"/>
      <c r="I191" s="9"/>
      <c r="J191" s="9"/>
      <c r="K191" s="9"/>
      <c r="L191" s="9"/>
      <c r="M191" s="9"/>
    </row>
    <row r="192" spans="1:13" ht="29.25" customHeight="1" x14ac:dyDescent="0.25">
      <c r="A192" s="56"/>
      <c r="B192" s="59"/>
      <c r="C192" s="7" t="s">
        <v>23</v>
      </c>
      <c r="D192" s="8" t="s">
        <v>14</v>
      </c>
      <c r="E192" s="8" t="s">
        <v>14</v>
      </c>
      <c r="F192" s="8" t="s">
        <v>14</v>
      </c>
      <c r="G192" s="8" t="s">
        <v>14</v>
      </c>
      <c r="H192" s="33">
        <f>H195</f>
        <v>0</v>
      </c>
      <c r="I192" s="33">
        <f>I195</f>
        <v>0</v>
      </c>
      <c r="J192" s="33">
        <f>J195</f>
        <v>195.5</v>
      </c>
      <c r="K192" s="33">
        <f>K195</f>
        <v>0</v>
      </c>
      <c r="L192" s="33">
        <f>L195</f>
        <v>0</v>
      </c>
      <c r="M192" s="9">
        <f>SUM(H192:L192)</f>
        <v>195.5</v>
      </c>
    </row>
    <row r="193" spans="1:13" ht="29.25" customHeight="1" x14ac:dyDescent="0.25">
      <c r="A193" s="60" t="s">
        <v>195</v>
      </c>
      <c r="B193" s="73" t="s">
        <v>196</v>
      </c>
      <c r="C193" s="19" t="s">
        <v>13</v>
      </c>
      <c r="D193" s="4" t="s">
        <v>14</v>
      </c>
      <c r="E193" s="4" t="s">
        <v>14</v>
      </c>
      <c r="F193" s="4" t="s">
        <v>14</v>
      </c>
      <c r="G193" s="4" t="s">
        <v>14</v>
      </c>
      <c r="H193" s="6">
        <f>SUM(H195)</f>
        <v>0</v>
      </c>
      <c r="I193" s="6">
        <f>SUM(I195)</f>
        <v>0</v>
      </c>
      <c r="J193" s="6">
        <f>SUM(J195)</f>
        <v>195.5</v>
      </c>
      <c r="K193" s="6">
        <f>SUM(K195)</f>
        <v>0</v>
      </c>
      <c r="L193" s="6">
        <f>SUM(L195)</f>
        <v>0</v>
      </c>
      <c r="M193" s="6">
        <f>SUM(H193:L193)</f>
        <v>195.5</v>
      </c>
    </row>
    <row r="194" spans="1:13" ht="29.25" customHeight="1" x14ac:dyDescent="0.25">
      <c r="A194" s="61"/>
      <c r="B194" s="74"/>
      <c r="C194" s="19" t="s">
        <v>15</v>
      </c>
      <c r="D194" s="4"/>
      <c r="E194" s="4"/>
      <c r="F194" s="4"/>
      <c r="G194" s="4"/>
      <c r="H194" s="6"/>
      <c r="I194" s="6"/>
      <c r="J194" s="6"/>
      <c r="K194" s="6"/>
      <c r="L194" s="6"/>
      <c r="M194" s="6"/>
    </row>
    <row r="195" spans="1:13" ht="139.5" customHeight="1" x14ac:dyDescent="0.25">
      <c r="A195" s="62"/>
      <c r="B195" s="75"/>
      <c r="C195" s="19" t="s">
        <v>23</v>
      </c>
      <c r="D195" s="20" t="s">
        <v>24</v>
      </c>
      <c r="E195" s="20" t="s">
        <v>33</v>
      </c>
      <c r="F195" s="20" t="s">
        <v>197</v>
      </c>
      <c r="G195" s="20" t="s">
        <v>198</v>
      </c>
      <c r="H195" s="27">
        <v>0</v>
      </c>
      <c r="I195" s="27">
        <v>0</v>
      </c>
      <c r="J195" s="27">
        <f>ROUND(195.5,2)</f>
        <v>195.5</v>
      </c>
      <c r="K195" s="27">
        <v>0</v>
      </c>
      <c r="L195" s="27">
        <v>0</v>
      </c>
      <c r="M195" s="6">
        <f>SUM(H195:L195)</f>
        <v>195.5</v>
      </c>
    </row>
    <row r="196" spans="1:13" ht="23.25" customHeight="1" x14ac:dyDescent="0.25">
      <c r="A196" s="34"/>
      <c r="B196" s="35"/>
      <c r="C196" s="34"/>
      <c r="D196" s="36"/>
      <c r="E196" s="36"/>
      <c r="F196" s="36"/>
      <c r="G196" s="36"/>
      <c r="H196" s="37"/>
      <c r="I196" s="37"/>
      <c r="J196" s="37"/>
      <c r="K196" s="37"/>
      <c r="L196" s="37"/>
      <c r="M196" s="37"/>
    </row>
    <row r="197" spans="1:13" ht="23.25" customHeight="1" x14ac:dyDescent="0.25">
      <c r="A197" s="34"/>
      <c r="B197" s="35"/>
      <c r="C197" s="34"/>
      <c r="D197" s="36"/>
      <c r="E197" s="36"/>
      <c r="F197" s="36"/>
      <c r="G197" s="36"/>
      <c r="H197" s="37"/>
      <c r="I197" s="37"/>
      <c r="J197" s="37"/>
      <c r="K197" s="37"/>
      <c r="L197" s="37"/>
      <c r="M197" s="37"/>
    </row>
    <row r="198" spans="1:13" ht="23.25" customHeight="1" x14ac:dyDescent="0.25">
      <c r="A198" s="34"/>
      <c r="B198" s="35"/>
      <c r="C198" s="34"/>
      <c r="D198" s="36"/>
      <c r="E198" s="36"/>
      <c r="F198" s="36"/>
      <c r="G198" s="36"/>
      <c r="H198" s="37"/>
      <c r="I198" s="37"/>
      <c r="J198" s="37"/>
      <c r="K198" s="37"/>
      <c r="L198" s="37"/>
      <c r="M198" s="37"/>
    </row>
    <row r="199" spans="1:13" s="39" customFormat="1" x14ac:dyDescent="0.25">
      <c r="A199" s="38" t="s">
        <v>199</v>
      </c>
      <c r="H199" s="40"/>
      <c r="I199" s="40" t="s">
        <v>200</v>
      </c>
      <c r="J199" s="40"/>
      <c r="K199" s="40"/>
      <c r="L199" s="40"/>
      <c r="M199" s="40"/>
    </row>
  </sheetData>
  <autoFilter ref="A6:M157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19">
    <mergeCell ref="C188:C189"/>
    <mergeCell ref="A190:A192"/>
    <mergeCell ref="B190:B192"/>
    <mergeCell ref="A193:A195"/>
    <mergeCell ref="B193:B195"/>
    <mergeCell ref="A180:A182"/>
    <mergeCell ref="B180:B182"/>
    <mergeCell ref="A183:A185"/>
    <mergeCell ref="B183:B185"/>
    <mergeCell ref="A186:A189"/>
    <mergeCell ref="B186:B189"/>
    <mergeCell ref="A171:A173"/>
    <mergeCell ref="B171:B173"/>
    <mergeCell ref="A174:A176"/>
    <mergeCell ref="B174:B176"/>
    <mergeCell ref="A177:A179"/>
    <mergeCell ref="B177:B179"/>
    <mergeCell ref="A162:A164"/>
    <mergeCell ref="B162:B164"/>
    <mergeCell ref="A165:A167"/>
    <mergeCell ref="B165:B167"/>
    <mergeCell ref="A168:A170"/>
    <mergeCell ref="B168:B170"/>
    <mergeCell ref="N150:N151"/>
    <mergeCell ref="A152:A154"/>
    <mergeCell ref="B152:B154"/>
    <mergeCell ref="A155:A158"/>
    <mergeCell ref="B155:B158"/>
    <mergeCell ref="A159:A161"/>
    <mergeCell ref="B159:B161"/>
    <mergeCell ref="A141:A143"/>
    <mergeCell ref="B141:B143"/>
    <mergeCell ref="A144:A151"/>
    <mergeCell ref="B144:B151"/>
    <mergeCell ref="C146:C149"/>
    <mergeCell ref="C150:C151"/>
    <mergeCell ref="N132:N133"/>
    <mergeCell ref="A134:A136"/>
    <mergeCell ref="B134:B136"/>
    <mergeCell ref="A137:A140"/>
    <mergeCell ref="B137:B140"/>
    <mergeCell ref="C139:C140"/>
    <mergeCell ref="A120:A122"/>
    <mergeCell ref="B120:B122"/>
    <mergeCell ref="A123:A128"/>
    <mergeCell ref="B123:B128"/>
    <mergeCell ref="A129:A133"/>
    <mergeCell ref="B129:B133"/>
    <mergeCell ref="A111:A113"/>
    <mergeCell ref="B111:B113"/>
    <mergeCell ref="A114:A116"/>
    <mergeCell ref="B114:B116"/>
    <mergeCell ref="A117:A119"/>
    <mergeCell ref="B117:B119"/>
    <mergeCell ref="A102:A104"/>
    <mergeCell ref="B102:B104"/>
    <mergeCell ref="A105:A107"/>
    <mergeCell ref="B105:B107"/>
    <mergeCell ref="A108:A110"/>
    <mergeCell ref="B108:B110"/>
    <mergeCell ref="A93:A95"/>
    <mergeCell ref="B93:B95"/>
    <mergeCell ref="A96:A98"/>
    <mergeCell ref="B96:B98"/>
    <mergeCell ref="A99:A101"/>
    <mergeCell ref="B99:B101"/>
    <mergeCell ref="A84:A88"/>
    <mergeCell ref="B84:B88"/>
    <mergeCell ref="C87:C88"/>
    <mergeCell ref="A89:A92"/>
    <mergeCell ref="B89:B92"/>
    <mergeCell ref="C91:C92"/>
    <mergeCell ref="A70:A72"/>
    <mergeCell ref="B70:B72"/>
    <mergeCell ref="A73:A77"/>
    <mergeCell ref="B73:B77"/>
    <mergeCell ref="C75:C77"/>
    <mergeCell ref="A78:A83"/>
    <mergeCell ref="B78:B83"/>
    <mergeCell ref="C82:C83"/>
    <mergeCell ref="A61:A63"/>
    <mergeCell ref="B61:B63"/>
    <mergeCell ref="A64:A66"/>
    <mergeCell ref="B64:B66"/>
    <mergeCell ref="A67:A69"/>
    <mergeCell ref="B67:B69"/>
    <mergeCell ref="A49:A52"/>
    <mergeCell ref="B49:B52"/>
    <mergeCell ref="C51:C52"/>
    <mergeCell ref="A53:A57"/>
    <mergeCell ref="B53:B57"/>
    <mergeCell ref="A58:A60"/>
    <mergeCell ref="B58:B60"/>
    <mergeCell ref="A38:A48"/>
    <mergeCell ref="B38:B48"/>
    <mergeCell ref="C42:C45"/>
    <mergeCell ref="N43:N44"/>
    <mergeCell ref="C46:C48"/>
    <mergeCell ref="N46:N47"/>
    <mergeCell ref="A29:A31"/>
    <mergeCell ref="B29:B31"/>
    <mergeCell ref="A32:A34"/>
    <mergeCell ref="B32:B34"/>
    <mergeCell ref="A35:A37"/>
    <mergeCell ref="B35:B37"/>
    <mergeCell ref="A8:A17"/>
    <mergeCell ref="B8:B17"/>
    <mergeCell ref="A18:A25"/>
    <mergeCell ref="B18:B25"/>
    <mergeCell ref="A26:A28"/>
    <mergeCell ref="B26:B28"/>
    <mergeCell ref="G1:M1"/>
    <mergeCell ref="G2:M2"/>
    <mergeCell ref="A4:M4"/>
    <mergeCell ref="A6:A7"/>
    <mergeCell ref="B6:B7"/>
    <mergeCell ref="C6:C7"/>
    <mergeCell ref="D6:G6"/>
    <mergeCell ref="H6:M6"/>
  </mergeCells>
  <pageMargins left="0.15748031496062992" right="0.23622047244094491" top="0.19685039370078741" bottom="0.15748031496062992" header="0.39370078740157483" footer="0.31496062992125984"/>
  <pageSetup paperSize="9" scale="71" fitToHeight="0" orientation="landscape" r:id="rId1"/>
  <rowBreaks count="8" manualBreakCount="8">
    <brk id="28" max="12" man="1"/>
    <brk id="60" max="12" man="1"/>
    <brk id="88" max="12" man="1"/>
    <brk id="119" max="12" man="1"/>
    <brk id="143" max="12" man="1"/>
    <brk id="161" max="12" man="1"/>
    <brk id="170" max="12" man="1"/>
    <brk id="182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5"/>
  <sheetViews>
    <sheetView view="pageBreakPreview" zoomScale="60" zoomScaleNormal="100" workbookViewId="0">
      <selection activeCell="E1" sqref="E1:I1"/>
    </sheetView>
  </sheetViews>
  <sheetFormatPr defaultRowHeight="15" x14ac:dyDescent="0.25"/>
  <cols>
    <col min="1" max="1" width="17" style="1" customWidth="1"/>
    <col min="2" max="2" width="34" style="1" customWidth="1"/>
    <col min="3" max="3" width="26" style="2" customWidth="1"/>
    <col min="4" max="9" width="15.85546875" style="12" customWidth="1"/>
    <col min="10" max="10" width="11.28515625" style="1" bestFit="1" customWidth="1"/>
    <col min="11" max="11" width="10.5703125" style="1" customWidth="1"/>
    <col min="12" max="256" width="9.140625" style="1"/>
    <col min="257" max="257" width="17" style="1" customWidth="1"/>
    <col min="258" max="258" width="34" style="1" customWidth="1"/>
    <col min="259" max="259" width="26" style="1" customWidth="1"/>
    <col min="260" max="265" width="15.85546875" style="1" customWidth="1"/>
    <col min="266" max="266" width="11.28515625" style="1" bestFit="1" customWidth="1"/>
    <col min="267" max="267" width="10.5703125" style="1" customWidth="1"/>
    <col min="268" max="512" width="9.140625" style="1"/>
    <col min="513" max="513" width="17" style="1" customWidth="1"/>
    <col min="514" max="514" width="34" style="1" customWidth="1"/>
    <col min="515" max="515" width="26" style="1" customWidth="1"/>
    <col min="516" max="521" width="15.85546875" style="1" customWidth="1"/>
    <col min="522" max="522" width="11.28515625" style="1" bestFit="1" customWidth="1"/>
    <col min="523" max="523" width="10.5703125" style="1" customWidth="1"/>
    <col min="524" max="768" width="9.140625" style="1"/>
    <col min="769" max="769" width="17" style="1" customWidth="1"/>
    <col min="770" max="770" width="34" style="1" customWidth="1"/>
    <col min="771" max="771" width="26" style="1" customWidth="1"/>
    <col min="772" max="777" width="15.85546875" style="1" customWidth="1"/>
    <col min="778" max="778" width="11.28515625" style="1" bestFit="1" customWidth="1"/>
    <col min="779" max="779" width="10.5703125" style="1" customWidth="1"/>
    <col min="780" max="1024" width="9.140625" style="1"/>
    <col min="1025" max="1025" width="17" style="1" customWidth="1"/>
    <col min="1026" max="1026" width="34" style="1" customWidth="1"/>
    <col min="1027" max="1027" width="26" style="1" customWidth="1"/>
    <col min="1028" max="1033" width="15.85546875" style="1" customWidth="1"/>
    <col min="1034" max="1034" width="11.28515625" style="1" bestFit="1" customWidth="1"/>
    <col min="1035" max="1035" width="10.5703125" style="1" customWidth="1"/>
    <col min="1036" max="1280" width="9.140625" style="1"/>
    <col min="1281" max="1281" width="17" style="1" customWidth="1"/>
    <col min="1282" max="1282" width="34" style="1" customWidth="1"/>
    <col min="1283" max="1283" width="26" style="1" customWidth="1"/>
    <col min="1284" max="1289" width="15.85546875" style="1" customWidth="1"/>
    <col min="1290" max="1290" width="11.28515625" style="1" bestFit="1" customWidth="1"/>
    <col min="1291" max="1291" width="10.5703125" style="1" customWidth="1"/>
    <col min="1292" max="1536" width="9.140625" style="1"/>
    <col min="1537" max="1537" width="17" style="1" customWidth="1"/>
    <col min="1538" max="1538" width="34" style="1" customWidth="1"/>
    <col min="1539" max="1539" width="26" style="1" customWidth="1"/>
    <col min="1540" max="1545" width="15.85546875" style="1" customWidth="1"/>
    <col min="1546" max="1546" width="11.28515625" style="1" bestFit="1" customWidth="1"/>
    <col min="1547" max="1547" width="10.5703125" style="1" customWidth="1"/>
    <col min="1548" max="1792" width="9.140625" style="1"/>
    <col min="1793" max="1793" width="17" style="1" customWidth="1"/>
    <col min="1794" max="1794" width="34" style="1" customWidth="1"/>
    <col min="1795" max="1795" width="26" style="1" customWidth="1"/>
    <col min="1796" max="1801" width="15.85546875" style="1" customWidth="1"/>
    <col min="1802" max="1802" width="11.28515625" style="1" bestFit="1" customWidth="1"/>
    <col min="1803" max="1803" width="10.5703125" style="1" customWidth="1"/>
    <col min="1804" max="2048" width="9.140625" style="1"/>
    <col min="2049" max="2049" width="17" style="1" customWidth="1"/>
    <col min="2050" max="2050" width="34" style="1" customWidth="1"/>
    <col min="2051" max="2051" width="26" style="1" customWidth="1"/>
    <col min="2052" max="2057" width="15.85546875" style="1" customWidth="1"/>
    <col min="2058" max="2058" width="11.28515625" style="1" bestFit="1" customWidth="1"/>
    <col min="2059" max="2059" width="10.5703125" style="1" customWidth="1"/>
    <col min="2060" max="2304" width="9.140625" style="1"/>
    <col min="2305" max="2305" width="17" style="1" customWidth="1"/>
    <col min="2306" max="2306" width="34" style="1" customWidth="1"/>
    <col min="2307" max="2307" width="26" style="1" customWidth="1"/>
    <col min="2308" max="2313" width="15.85546875" style="1" customWidth="1"/>
    <col min="2314" max="2314" width="11.28515625" style="1" bestFit="1" customWidth="1"/>
    <col min="2315" max="2315" width="10.5703125" style="1" customWidth="1"/>
    <col min="2316" max="2560" width="9.140625" style="1"/>
    <col min="2561" max="2561" width="17" style="1" customWidth="1"/>
    <col min="2562" max="2562" width="34" style="1" customWidth="1"/>
    <col min="2563" max="2563" width="26" style="1" customWidth="1"/>
    <col min="2564" max="2569" width="15.85546875" style="1" customWidth="1"/>
    <col min="2570" max="2570" width="11.28515625" style="1" bestFit="1" customWidth="1"/>
    <col min="2571" max="2571" width="10.5703125" style="1" customWidth="1"/>
    <col min="2572" max="2816" width="9.140625" style="1"/>
    <col min="2817" max="2817" width="17" style="1" customWidth="1"/>
    <col min="2818" max="2818" width="34" style="1" customWidth="1"/>
    <col min="2819" max="2819" width="26" style="1" customWidth="1"/>
    <col min="2820" max="2825" width="15.85546875" style="1" customWidth="1"/>
    <col min="2826" max="2826" width="11.28515625" style="1" bestFit="1" customWidth="1"/>
    <col min="2827" max="2827" width="10.5703125" style="1" customWidth="1"/>
    <col min="2828" max="3072" width="9.140625" style="1"/>
    <col min="3073" max="3073" width="17" style="1" customWidth="1"/>
    <col min="3074" max="3074" width="34" style="1" customWidth="1"/>
    <col min="3075" max="3075" width="26" style="1" customWidth="1"/>
    <col min="3076" max="3081" width="15.85546875" style="1" customWidth="1"/>
    <col min="3082" max="3082" width="11.28515625" style="1" bestFit="1" customWidth="1"/>
    <col min="3083" max="3083" width="10.5703125" style="1" customWidth="1"/>
    <col min="3084" max="3328" width="9.140625" style="1"/>
    <col min="3329" max="3329" width="17" style="1" customWidth="1"/>
    <col min="3330" max="3330" width="34" style="1" customWidth="1"/>
    <col min="3331" max="3331" width="26" style="1" customWidth="1"/>
    <col min="3332" max="3337" width="15.85546875" style="1" customWidth="1"/>
    <col min="3338" max="3338" width="11.28515625" style="1" bestFit="1" customWidth="1"/>
    <col min="3339" max="3339" width="10.5703125" style="1" customWidth="1"/>
    <col min="3340" max="3584" width="9.140625" style="1"/>
    <col min="3585" max="3585" width="17" style="1" customWidth="1"/>
    <col min="3586" max="3586" width="34" style="1" customWidth="1"/>
    <col min="3587" max="3587" width="26" style="1" customWidth="1"/>
    <col min="3588" max="3593" width="15.85546875" style="1" customWidth="1"/>
    <col min="3594" max="3594" width="11.28515625" style="1" bestFit="1" customWidth="1"/>
    <col min="3595" max="3595" width="10.5703125" style="1" customWidth="1"/>
    <col min="3596" max="3840" width="9.140625" style="1"/>
    <col min="3841" max="3841" width="17" style="1" customWidth="1"/>
    <col min="3842" max="3842" width="34" style="1" customWidth="1"/>
    <col min="3843" max="3843" width="26" style="1" customWidth="1"/>
    <col min="3844" max="3849" width="15.85546875" style="1" customWidth="1"/>
    <col min="3850" max="3850" width="11.28515625" style="1" bestFit="1" customWidth="1"/>
    <col min="3851" max="3851" width="10.5703125" style="1" customWidth="1"/>
    <col min="3852" max="4096" width="9.140625" style="1"/>
    <col min="4097" max="4097" width="17" style="1" customWidth="1"/>
    <col min="4098" max="4098" width="34" style="1" customWidth="1"/>
    <col min="4099" max="4099" width="26" style="1" customWidth="1"/>
    <col min="4100" max="4105" width="15.85546875" style="1" customWidth="1"/>
    <col min="4106" max="4106" width="11.28515625" style="1" bestFit="1" customWidth="1"/>
    <col min="4107" max="4107" width="10.5703125" style="1" customWidth="1"/>
    <col min="4108" max="4352" width="9.140625" style="1"/>
    <col min="4353" max="4353" width="17" style="1" customWidth="1"/>
    <col min="4354" max="4354" width="34" style="1" customWidth="1"/>
    <col min="4355" max="4355" width="26" style="1" customWidth="1"/>
    <col min="4356" max="4361" width="15.85546875" style="1" customWidth="1"/>
    <col min="4362" max="4362" width="11.28515625" style="1" bestFit="1" customWidth="1"/>
    <col min="4363" max="4363" width="10.5703125" style="1" customWidth="1"/>
    <col min="4364" max="4608" width="9.140625" style="1"/>
    <col min="4609" max="4609" width="17" style="1" customWidth="1"/>
    <col min="4610" max="4610" width="34" style="1" customWidth="1"/>
    <col min="4611" max="4611" width="26" style="1" customWidth="1"/>
    <col min="4612" max="4617" width="15.85546875" style="1" customWidth="1"/>
    <col min="4618" max="4618" width="11.28515625" style="1" bestFit="1" customWidth="1"/>
    <col min="4619" max="4619" width="10.5703125" style="1" customWidth="1"/>
    <col min="4620" max="4864" width="9.140625" style="1"/>
    <col min="4865" max="4865" width="17" style="1" customWidth="1"/>
    <col min="4866" max="4866" width="34" style="1" customWidth="1"/>
    <col min="4867" max="4867" width="26" style="1" customWidth="1"/>
    <col min="4868" max="4873" width="15.85546875" style="1" customWidth="1"/>
    <col min="4874" max="4874" width="11.28515625" style="1" bestFit="1" customWidth="1"/>
    <col min="4875" max="4875" width="10.5703125" style="1" customWidth="1"/>
    <col min="4876" max="5120" width="9.140625" style="1"/>
    <col min="5121" max="5121" width="17" style="1" customWidth="1"/>
    <col min="5122" max="5122" width="34" style="1" customWidth="1"/>
    <col min="5123" max="5123" width="26" style="1" customWidth="1"/>
    <col min="5124" max="5129" width="15.85546875" style="1" customWidth="1"/>
    <col min="5130" max="5130" width="11.28515625" style="1" bestFit="1" customWidth="1"/>
    <col min="5131" max="5131" width="10.5703125" style="1" customWidth="1"/>
    <col min="5132" max="5376" width="9.140625" style="1"/>
    <col min="5377" max="5377" width="17" style="1" customWidth="1"/>
    <col min="5378" max="5378" width="34" style="1" customWidth="1"/>
    <col min="5379" max="5379" width="26" style="1" customWidth="1"/>
    <col min="5380" max="5385" width="15.85546875" style="1" customWidth="1"/>
    <col min="5386" max="5386" width="11.28515625" style="1" bestFit="1" customWidth="1"/>
    <col min="5387" max="5387" width="10.5703125" style="1" customWidth="1"/>
    <col min="5388" max="5632" width="9.140625" style="1"/>
    <col min="5633" max="5633" width="17" style="1" customWidth="1"/>
    <col min="5634" max="5634" width="34" style="1" customWidth="1"/>
    <col min="5635" max="5635" width="26" style="1" customWidth="1"/>
    <col min="5636" max="5641" width="15.85546875" style="1" customWidth="1"/>
    <col min="5642" max="5642" width="11.28515625" style="1" bestFit="1" customWidth="1"/>
    <col min="5643" max="5643" width="10.5703125" style="1" customWidth="1"/>
    <col min="5644" max="5888" width="9.140625" style="1"/>
    <col min="5889" max="5889" width="17" style="1" customWidth="1"/>
    <col min="5890" max="5890" width="34" style="1" customWidth="1"/>
    <col min="5891" max="5891" width="26" style="1" customWidth="1"/>
    <col min="5892" max="5897" width="15.85546875" style="1" customWidth="1"/>
    <col min="5898" max="5898" width="11.28515625" style="1" bestFit="1" customWidth="1"/>
    <col min="5899" max="5899" width="10.5703125" style="1" customWidth="1"/>
    <col min="5900" max="6144" width="9.140625" style="1"/>
    <col min="6145" max="6145" width="17" style="1" customWidth="1"/>
    <col min="6146" max="6146" width="34" style="1" customWidth="1"/>
    <col min="6147" max="6147" width="26" style="1" customWidth="1"/>
    <col min="6148" max="6153" width="15.85546875" style="1" customWidth="1"/>
    <col min="6154" max="6154" width="11.28515625" style="1" bestFit="1" customWidth="1"/>
    <col min="6155" max="6155" width="10.5703125" style="1" customWidth="1"/>
    <col min="6156" max="6400" width="9.140625" style="1"/>
    <col min="6401" max="6401" width="17" style="1" customWidth="1"/>
    <col min="6402" max="6402" width="34" style="1" customWidth="1"/>
    <col min="6403" max="6403" width="26" style="1" customWidth="1"/>
    <col min="6404" max="6409" width="15.85546875" style="1" customWidth="1"/>
    <col min="6410" max="6410" width="11.28515625" style="1" bestFit="1" customWidth="1"/>
    <col min="6411" max="6411" width="10.5703125" style="1" customWidth="1"/>
    <col min="6412" max="6656" width="9.140625" style="1"/>
    <col min="6657" max="6657" width="17" style="1" customWidth="1"/>
    <col min="6658" max="6658" width="34" style="1" customWidth="1"/>
    <col min="6659" max="6659" width="26" style="1" customWidth="1"/>
    <col min="6660" max="6665" width="15.85546875" style="1" customWidth="1"/>
    <col min="6666" max="6666" width="11.28515625" style="1" bestFit="1" customWidth="1"/>
    <col min="6667" max="6667" width="10.5703125" style="1" customWidth="1"/>
    <col min="6668" max="6912" width="9.140625" style="1"/>
    <col min="6913" max="6913" width="17" style="1" customWidth="1"/>
    <col min="6914" max="6914" width="34" style="1" customWidth="1"/>
    <col min="6915" max="6915" width="26" style="1" customWidth="1"/>
    <col min="6916" max="6921" width="15.85546875" style="1" customWidth="1"/>
    <col min="6922" max="6922" width="11.28515625" style="1" bestFit="1" customWidth="1"/>
    <col min="6923" max="6923" width="10.5703125" style="1" customWidth="1"/>
    <col min="6924" max="7168" width="9.140625" style="1"/>
    <col min="7169" max="7169" width="17" style="1" customWidth="1"/>
    <col min="7170" max="7170" width="34" style="1" customWidth="1"/>
    <col min="7171" max="7171" width="26" style="1" customWidth="1"/>
    <col min="7172" max="7177" width="15.85546875" style="1" customWidth="1"/>
    <col min="7178" max="7178" width="11.28515625" style="1" bestFit="1" customWidth="1"/>
    <col min="7179" max="7179" width="10.5703125" style="1" customWidth="1"/>
    <col min="7180" max="7424" width="9.140625" style="1"/>
    <col min="7425" max="7425" width="17" style="1" customWidth="1"/>
    <col min="7426" max="7426" width="34" style="1" customWidth="1"/>
    <col min="7427" max="7427" width="26" style="1" customWidth="1"/>
    <col min="7428" max="7433" width="15.85546875" style="1" customWidth="1"/>
    <col min="7434" max="7434" width="11.28515625" style="1" bestFit="1" customWidth="1"/>
    <col min="7435" max="7435" width="10.5703125" style="1" customWidth="1"/>
    <col min="7436" max="7680" width="9.140625" style="1"/>
    <col min="7681" max="7681" width="17" style="1" customWidth="1"/>
    <col min="7682" max="7682" width="34" style="1" customWidth="1"/>
    <col min="7683" max="7683" width="26" style="1" customWidth="1"/>
    <col min="7684" max="7689" width="15.85546875" style="1" customWidth="1"/>
    <col min="7690" max="7690" width="11.28515625" style="1" bestFit="1" customWidth="1"/>
    <col min="7691" max="7691" width="10.5703125" style="1" customWidth="1"/>
    <col min="7692" max="7936" width="9.140625" style="1"/>
    <col min="7937" max="7937" width="17" style="1" customWidth="1"/>
    <col min="7938" max="7938" width="34" style="1" customWidth="1"/>
    <col min="7939" max="7939" width="26" style="1" customWidth="1"/>
    <col min="7940" max="7945" width="15.85546875" style="1" customWidth="1"/>
    <col min="7946" max="7946" width="11.28515625" style="1" bestFit="1" customWidth="1"/>
    <col min="7947" max="7947" width="10.5703125" style="1" customWidth="1"/>
    <col min="7948" max="8192" width="9.140625" style="1"/>
    <col min="8193" max="8193" width="17" style="1" customWidth="1"/>
    <col min="8194" max="8194" width="34" style="1" customWidth="1"/>
    <col min="8195" max="8195" width="26" style="1" customWidth="1"/>
    <col min="8196" max="8201" width="15.85546875" style="1" customWidth="1"/>
    <col min="8202" max="8202" width="11.28515625" style="1" bestFit="1" customWidth="1"/>
    <col min="8203" max="8203" width="10.5703125" style="1" customWidth="1"/>
    <col min="8204" max="8448" width="9.140625" style="1"/>
    <col min="8449" max="8449" width="17" style="1" customWidth="1"/>
    <col min="8450" max="8450" width="34" style="1" customWidth="1"/>
    <col min="8451" max="8451" width="26" style="1" customWidth="1"/>
    <col min="8452" max="8457" width="15.85546875" style="1" customWidth="1"/>
    <col min="8458" max="8458" width="11.28515625" style="1" bestFit="1" customWidth="1"/>
    <col min="8459" max="8459" width="10.5703125" style="1" customWidth="1"/>
    <col min="8460" max="8704" width="9.140625" style="1"/>
    <col min="8705" max="8705" width="17" style="1" customWidth="1"/>
    <col min="8706" max="8706" width="34" style="1" customWidth="1"/>
    <col min="8707" max="8707" width="26" style="1" customWidth="1"/>
    <col min="8708" max="8713" width="15.85546875" style="1" customWidth="1"/>
    <col min="8714" max="8714" width="11.28515625" style="1" bestFit="1" customWidth="1"/>
    <col min="8715" max="8715" width="10.5703125" style="1" customWidth="1"/>
    <col min="8716" max="8960" width="9.140625" style="1"/>
    <col min="8961" max="8961" width="17" style="1" customWidth="1"/>
    <col min="8962" max="8962" width="34" style="1" customWidth="1"/>
    <col min="8963" max="8963" width="26" style="1" customWidth="1"/>
    <col min="8964" max="8969" width="15.85546875" style="1" customWidth="1"/>
    <col min="8970" max="8970" width="11.28515625" style="1" bestFit="1" customWidth="1"/>
    <col min="8971" max="8971" width="10.5703125" style="1" customWidth="1"/>
    <col min="8972" max="9216" width="9.140625" style="1"/>
    <col min="9217" max="9217" width="17" style="1" customWidth="1"/>
    <col min="9218" max="9218" width="34" style="1" customWidth="1"/>
    <col min="9219" max="9219" width="26" style="1" customWidth="1"/>
    <col min="9220" max="9225" width="15.85546875" style="1" customWidth="1"/>
    <col min="9226" max="9226" width="11.28515625" style="1" bestFit="1" customWidth="1"/>
    <col min="9227" max="9227" width="10.5703125" style="1" customWidth="1"/>
    <col min="9228" max="9472" width="9.140625" style="1"/>
    <col min="9473" max="9473" width="17" style="1" customWidth="1"/>
    <col min="9474" max="9474" width="34" style="1" customWidth="1"/>
    <col min="9475" max="9475" width="26" style="1" customWidth="1"/>
    <col min="9476" max="9481" width="15.85546875" style="1" customWidth="1"/>
    <col min="9482" max="9482" width="11.28515625" style="1" bestFit="1" customWidth="1"/>
    <col min="9483" max="9483" width="10.5703125" style="1" customWidth="1"/>
    <col min="9484" max="9728" width="9.140625" style="1"/>
    <col min="9729" max="9729" width="17" style="1" customWidth="1"/>
    <col min="9730" max="9730" width="34" style="1" customWidth="1"/>
    <col min="9731" max="9731" width="26" style="1" customWidth="1"/>
    <col min="9732" max="9737" width="15.85546875" style="1" customWidth="1"/>
    <col min="9738" max="9738" width="11.28515625" style="1" bestFit="1" customWidth="1"/>
    <col min="9739" max="9739" width="10.5703125" style="1" customWidth="1"/>
    <col min="9740" max="9984" width="9.140625" style="1"/>
    <col min="9985" max="9985" width="17" style="1" customWidth="1"/>
    <col min="9986" max="9986" width="34" style="1" customWidth="1"/>
    <col min="9987" max="9987" width="26" style="1" customWidth="1"/>
    <col min="9988" max="9993" width="15.85546875" style="1" customWidth="1"/>
    <col min="9994" max="9994" width="11.28515625" style="1" bestFit="1" customWidth="1"/>
    <col min="9995" max="9995" width="10.5703125" style="1" customWidth="1"/>
    <col min="9996" max="10240" width="9.140625" style="1"/>
    <col min="10241" max="10241" width="17" style="1" customWidth="1"/>
    <col min="10242" max="10242" width="34" style="1" customWidth="1"/>
    <col min="10243" max="10243" width="26" style="1" customWidth="1"/>
    <col min="10244" max="10249" width="15.85546875" style="1" customWidth="1"/>
    <col min="10250" max="10250" width="11.28515625" style="1" bestFit="1" customWidth="1"/>
    <col min="10251" max="10251" width="10.5703125" style="1" customWidth="1"/>
    <col min="10252" max="10496" width="9.140625" style="1"/>
    <col min="10497" max="10497" width="17" style="1" customWidth="1"/>
    <col min="10498" max="10498" width="34" style="1" customWidth="1"/>
    <col min="10499" max="10499" width="26" style="1" customWidth="1"/>
    <col min="10500" max="10505" width="15.85546875" style="1" customWidth="1"/>
    <col min="10506" max="10506" width="11.28515625" style="1" bestFit="1" customWidth="1"/>
    <col min="10507" max="10507" width="10.5703125" style="1" customWidth="1"/>
    <col min="10508" max="10752" width="9.140625" style="1"/>
    <col min="10753" max="10753" width="17" style="1" customWidth="1"/>
    <col min="10754" max="10754" width="34" style="1" customWidth="1"/>
    <col min="10755" max="10755" width="26" style="1" customWidth="1"/>
    <col min="10756" max="10761" width="15.85546875" style="1" customWidth="1"/>
    <col min="10762" max="10762" width="11.28515625" style="1" bestFit="1" customWidth="1"/>
    <col min="10763" max="10763" width="10.5703125" style="1" customWidth="1"/>
    <col min="10764" max="11008" width="9.140625" style="1"/>
    <col min="11009" max="11009" width="17" style="1" customWidth="1"/>
    <col min="11010" max="11010" width="34" style="1" customWidth="1"/>
    <col min="11011" max="11011" width="26" style="1" customWidth="1"/>
    <col min="11012" max="11017" width="15.85546875" style="1" customWidth="1"/>
    <col min="11018" max="11018" width="11.28515625" style="1" bestFit="1" customWidth="1"/>
    <col min="11019" max="11019" width="10.5703125" style="1" customWidth="1"/>
    <col min="11020" max="11264" width="9.140625" style="1"/>
    <col min="11265" max="11265" width="17" style="1" customWidth="1"/>
    <col min="11266" max="11266" width="34" style="1" customWidth="1"/>
    <col min="11267" max="11267" width="26" style="1" customWidth="1"/>
    <col min="11268" max="11273" width="15.85546875" style="1" customWidth="1"/>
    <col min="11274" max="11274" width="11.28515625" style="1" bestFit="1" customWidth="1"/>
    <col min="11275" max="11275" width="10.5703125" style="1" customWidth="1"/>
    <col min="11276" max="11520" width="9.140625" style="1"/>
    <col min="11521" max="11521" width="17" style="1" customWidth="1"/>
    <col min="11522" max="11522" width="34" style="1" customWidth="1"/>
    <col min="11523" max="11523" width="26" style="1" customWidth="1"/>
    <col min="11524" max="11529" width="15.85546875" style="1" customWidth="1"/>
    <col min="11530" max="11530" width="11.28515625" style="1" bestFit="1" customWidth="1"/>
    <col min="11531" max="11531" width="10.5703125" style="1" customWidth="1"/>
    <col min="11532" max="11776" width="9.140625" style="1"/>
    <col min="11777" max="11777" width="17" style="1" customWidth="1"/>
    <col min="11778" max="11778" width="34" style="1" customWidth="1"/>
    <col min="11779" max="11779" width="26" style="1" customWidth="1"/>
    <col min="11780" max="11785" width="15.85546875" style="1" customWidth="1"/>
    <col min="11786" max="11786" width="11.28515625" style="1" bestFit="1" customWidth="1"/>
    <col min="11787" max="11787" width="10.5703125" style="1" customWidth="1"/>
    <col min="11788" max="12032" width="9.140625" style="1"/>
    <col min="12033" max="12033" width="17" style="1" customWidth="1"/>
    <col min="12034" max="12034" width="34" style="1" customWidth="1"/>
    <col min="12035" max="12035" width="26" style="1" customWidth="1"/>
    <col min="12036" max="12041" width="15.85546875" style="1" customWidth="1"/>
    <col min="12042" max="12042" width="11.28515625" style="1" bestFit="1" customWidth="1"/>
    <col min="12043" max="12043" width="10.5703125" style="1" customWidth="1"/>
    <col min="12044" max="12288" width="9.140625" style="1"/>
    <col min="12289" max="12289" width="17" style="1" customWidth="1"/>
    <col min="12290" max="12290" width="34" style="1" customWidth="1"/>
    <col min="12291" max="12291" width="26" style="1" customWidth="1"/>
    <col min="12292" max="12297" width="15.85546875" style="1" customWidth="1"/>
    <col min="12298" max="12298" width="11.28515625" style="1" bestFit="1" customWidth="1"/>
    <col min="12299" max="12299" width="10.5703125" style="1" customWidth="1"/>
    <col min="12300" max="12544" width="9.140625" style="1"/>
    <col min="12545" max="12545" width="17" style="1" customWidth="1"/>
    <col min="12546" max="12546" width="34" style="1" customWidth="1"/>
    <col min="12547" max="12547" width="26" style="1" customWidth="1"/>
    <col min="12548" max="12553" width="15.85546875" style="1" customWidth="1"/>
    <col min="12554" max="12554" width="11.28515625" style="1" bestFit="1" customWidth="1"/>
    <col min="12555" max="12555" width="10.5703125" style="1" customWidth="1"/>
    <col min="12556" max="12800" width="9.140625" style="1"/>
    <col min="12801" max="12801" width="17" style="1" customWidth="1"/>
    <col min="12802" max="12802" width="34" style="1" customWidth="1"/>
    <col min="12803" max="12803" width="26" style="1" customWidth="1"/>
    <col min="12804" max="12809" width="15.85546875" style="1" customWidth="1"/>
    <col min="12810" max="12810" width="11.28515625" style="1" bestFit="1" customWidth="1"/>
    <col min="12811" max="12811" width="10.5703125" style="1" customWidth="1"/>
    <col min="12812" max="13056" width="9.140625" style="1"/>
    <col min="13057" max="13057" width="17" style="1" customWidth="1"/>
    <col min="13058" max="13058" width="34" style="1" customWidth="1"/>
    <col min="13059" max="13059" width="26" style="1" customWidth="1"/>
    <col min="13060" max="13065" width="15.85546875" style="1" customWidth="1"/>
    <col min="13066" max="13066" width="11.28515625" style="1" bestFit="1" customWidth="1"/>
    <col min="13067" max="13067" width="10.5703125" style="1" customWidth="1"/>
    <col min="13068" max="13312" width="9.140625" style="1"/>
    <col min="13313" max="13313" width="17" style="1" customWidth="1"/>
    <col min="13314" max="13314" width="34" style="1" customWidth="1"/>
    <col min="13315" max="13315" width="26" style="1" customWidth="1"/>
    <col min="13316" max="13321" width="15.85546875" style="1" customWidth="1"/>
    <col min="13322" max="13322" width="11.28515625" style="1" bestFit="1" customWidth="1"/>
    <col min="13323" max="13323" width="10.5703125" style="1" customWidth="1"/>
    <col min="13324" max="13568" width="9.140625" style="1"/>
    <col min="13569" max="13569" width="17" style="1" customWidth="1"/>
    <col min="13570" max="13570" width="34" style="1" customWidth="1"/>
    <col min="13571" max="13571" width="26" style="1" customWidth="1"/>
    <col min="13572" max="13577" width="15.85546875" style="1" customWidth="1"/>
    <col min="13578" max="13578" width="11.28515625" style="1" bestFit="1" customWidth="1"/>
    <col min="13579" max="13579" width="10.5703125" style="1" customWidth="1"/>
    <col min="13580" max="13824" width="9.140625" style="1"/>
    <col min="13825" max="13825" width="17" style="1" customWidth="1"/>
    <col min="13826" max="13826" width="34" style="1" customWidth="1"/>
    <col min="13827" max="13827" width="26" style="1" customWidth="1"/>
    <col min="13828" max="13833" width="15.85546875" style="1" customWidth="1"/>
    <col min="13834" max="13834" width="11.28515625" style="1" bestFit="1" customWidth="1"/>
    <col min="13835" max="13835" width="10.5703125" style="1" customWidth="1"/>
    <col min="13836" max="14080" width="9.140625" style="1"/>
    <col min="14081" max="14081" width="17" style="1" customWidth="1"/>
    <col min="14082" max="14082" width="34" style="1" customWidth="1"/>
    <col min="14083" max="14083" width="26" style="1" customWidth="1"/>
    <col min="14084" max="14089" width="15.85546875" style="1" customWidth="1"/>
    <col min="14090" max="14090" width="11.28515625" style="1" bestFit="1" customWidth="1"/>
    <col min="14091" max="14091" width="10.5703125" style="1" customWidth="1"/>
    <col min="14092" max="14336" width="9.140625" style="1"/>
    <col min="14337" max="14337" width="17" style="1" customWidth="1"/>
    <col min="14338" max="14338" width="34" style="1" customWidth="1"/>
    <col min="14339" max="14339" width="26" style="1" customWidth="1"/>
    <col min="14340" max="14345" width="15.85546875" style="1" customWidth="1"/>
    <col min="14346" max="14346" width="11.28515625" style="1" bestFit="1" customWidth="1"/>
    <col min="14347" max="14347" width="10.5703125" style="1" customWidth="1"/>
    <col min="14348" max="14592" width="9.140625" style="1"/>
    <col min="14593" max="14593" width="17" style="1" customWidth="1"/>
    <col min="14594" max="14594" width="34" style="1" customWidth="1"/>
    <col min="14595" max="14595" width="26" style="1" customWidth="1"/>
    <col min="14596" max="14601" width="15.85546875" style="1" customWidth="1"/>
    <col min="14602" max="14602" width="11.28515625" style="1" bestFit="1" customWidth="1"/>
    <col min="14603" max="14603" width="10.5703125" style="1" customWidth="1"/>
    <col min="14604" max="14848" width="9.140625" style="1"/>
    <col min="14849" max="14849" width="17" style="1" customWidth="1"/>
    <col min="14850" max="14850" width="34" style="1" customWidth="1"/>
    <col min="14851" max="14851" width="26" style="1" customWidth="1"/>
    <col min="14852" max="14857" width="15.85546875" style="1" customWidth="1"/>
    <col min="14858" max="14858" width="11.28515625" style="1" bestFit="1" customWidth="1"/>
    <col min="14859" max="14859" width="10.5703125" style="1" customWidth="1"/>
    <col min="14860" max="15104" width="9.140625" style="1"/>
    <col min="15105" max="15105" width="17" style="1" customWidth="1"/>
    <col min="15106" max="15106" width="34" style="1" customWidth="1"/>
    <col min="15107" max="15107" width="26" style="1" customWidth="1"/>
    <col min="15108" max="15113" width="15.85546875" style="1" customWidth="1"/>
    <col min="15114" max="15114" width="11.28515625" style="1" bestFit="1" customWidth="1"/>
    <col min="15115" max="15115" width="10.5703125" style="1" customWidth="1"/>
    <col min="15116" max="15360" width="9.140625" style="1"/>
    <col min="15361" max="15361" width="17" style="1" customWidth="1"/>
    <col min="15362" max="15362" width="34" style="1" customWidth="1"/>
    <col min="15363" max="15363" width="26" style="1" customWidth="1"/>
    <col min="15364" max="15369" width="15.85546875" style="1" customWidth="1"/>
    <col min="15370" max="15370" width="11.28515625" style="1" bestFit="1" customWidth="1"/>
    <col min="15371" max="15371" width="10.5703125" style="1" customWidth="1"/>
    <col min="15372" max="15616" width="9.140625" style="1"/>
    <col min="15617" max="15617" width="17" style="1" customWidth="1"/>
    <col min="15618" max="15618" width="34" style="1" customWidth="1"/>
    <col min="15619" max="15619" width="26" style="1" customWidth="1"/>
    <col min="15620" max="15625" width="15.85546875" style="1" customWidth="1"/>
    <col min="15626" max="15626" width="11.28515625" style="1" bestFit="1" customWidth="1"/>
    <col min="15627" max="15627" width="10.5703125" style="1" customWidth="1"/>
    <col min="15628" max="15872" width="9.140625" style="1"/>
    <col min="15873" max="15873" width="17" style="1" customWidth="1"/>
    <col min="15874" max="15874" width="34" style="1" customWidth="1"/>
    <col min="15875" max="15875" width="26" style="1" customWidth="1"/>
    <col min="15876" max="15881" width="15.85546875" style="1" customWidth="1"/>
    <col min="15882" max="15882" width="11.28515625" style="1" bestFit="1" customWidth="1"/>
    <col min="15883" max="15883" width="10.5703125" style="1" customWidth="1"/>
    <col min="15884" max="16128" width="9.140625" style="1"/>
    <col min="16129" max="16129" width="17" style="1" customWidth="1"/>
    <col min="16130" max="16130" width="34" style="1" customWidth="1"/>
    <col min="16131" max="16131" width="26" style="1" customWidth="1"/>
    <col min="16132" max="16137" width="15.85546875" style="1" customWidth="1"/>
    <col min="16138" max="16138" width="11.28515625" style="1" bestFit="1" customWidth="1"/>
    <col min="16139" max="16139" width="10.5703125" style="1" customWidth="1"/>
    <col min="16140" max="16384" width="9.140625" style="1"/>
  </cols>
  <sheetData>
    <row r="1" spans="1:10" ht="32.25" customHeight="1" x14ac:dyDescent="0.25">
      <c r="E1" s="94" t="s">
        <v>240</v>
      </c>
      <c r="F1" s="94"/>
      <c r="G1" s="94"/>
      <c r="H1" s="94"/>
      <c r="I1" s="94"/>
    </row>
    <row r="2" spans="1:10" ht="63" customHeight="1" x14ac:dyDescent="0.25">
      <c r="E2" s="94" t="s">
        <v>201</v>
      </c>
      <c r="F2" s="94"/>
      <c r="G2" s="94"/>
      <c r="H2" s="94"/>
      <c r="I2" s="94"/>
    </row>
    <row r="4" spans="1:10" ht="33.75" customHeight="1" x14ac:dyDescent="0.25">
      <c r="A4" s="66" t="s">
        <v>202</v>
      </c>
      <c r="B4" s="66"/>
      <c r="C4" s="66"/>
      <c r="D4" s="66"/>
      <c r="E4" s="66"/>
      <c r="F4" s="66"/>
      <c r="G4" s="66"/>
      <c r="H4" s="66"/>
      <c r="I4" s="66"/>
    </row>
    <row r="6" spans="1:10" ht="15.75" customHeight="1" x14ac:dyDescent="0.25">
      <c r="A6" s="67" t="s">
        <v>203</v>
      </c>
      <c r="B6" s="67" t="s">
        <v>204</v>
      </c>
      <c r="C6" s="60" t="s">
        <v>205</v>
      </c>
      <c r="D6" s="95" t="s">
        <v>206</v>
      </c>
      <c r="E6" s="95"/>
      <c r="F6" s="95"/>
      <c r="G6" s="95"/>
      <c r="H6" s="95"/>
      <c r="I6" s="95"/>
    </row>
    <row r="7" spans="1:10" ht="29.25" customHeight="1" x14ac:dyDescent="0.25">
      <c r="A7" s="67"/>
      <c r="B7" s="67"/>
      <c r="C7" s="62"/>
      <c r="D7" s="42">
        <v>2014</v>
      </c>
      <c r="E7" s="42">
        <v>2015</v>
      </c>
      <c r="F7" s="42">
        <v>2016</v>
      </c>
      <c r="G7" s="42">
        <v>2017</v>
      </c>
      <c r="H7" s="42">
        <v>2018</v>
      </c>
      <c r="I7" s="27" t="s">
        <v>11</v>
      </c>
    </row>
    <row r="8" spans="1:10" ht="13.5" customHeight="1" x14ac:dyDescent="0.25">
      <c r="A8" s="67" t="s">
        <v>12</v>
      </c>
      <c r="B8" s="67" t="s">
        <v>207</v>
      </c>
      <c r="C8" s="43" t="s">
        <v>208</v>
      </c>
      <c r="D8" s="27">
        <f>D13+D14+D12+D11+D10</f>
        <v>48062.078700000005</v>
      </c>
      <c r="E8" s="27">
        <f>E13+E14+E12+E11+E10</f>
        <v>53470.631799999996</v>
      </c>
      <c r="F8" s="27">
        <f>F13+F14+F12+F11+F10</f>
        <v>45105.328999999998</v>
      </c>
      <c r="G8" s="27">
        <f>G13+G14+G12+G11+G10</f>
        <v>44991</v>
      </c>
      <c r="H8" s="27">
        <f>H13+H14+H12+H11+H10</f>
        <v>44991</v>
      </c>
      <c r="I8" s="27">
        <f>SUM(D8:H8)</f>
        <v>236620.03950000001</v>
      </c>
      <c r="J8" s="12"/>
    </row>
    <row r="9" spans="1:10" x14ac:dyDescent="0.25">
      <c r="A9" s="67"/>
      <c r="B9" s="67"/>
      <c r="C9" s="43" t="s">
        <v>209</v>
      </c>
      <c r="D9" s="27"/>
      <c r="E9" s="27"/>
      <c r="F9" s="27"/>
      <c r="G9" s="27"/>
      <c r="H9" s="27"/>
      <c r="I9" s="27"/>
    </row>
    <row r="10" spans="1:10" x14ac:dyDescent="0.25">
      <c r="A10" s="67"/>
      <c r="B10" s="67"/>
      <c r="C10" s="43" t="s">
        <v>210</v>
      </c>
      <c r="D10" s="27"/>
      <c r="E10" s="27"/>
      <c r="F10" s="27"/>
      <c r="G10" s="27"/>
      <c r="H10" s="27"/>
      <c r="I10" s="27"/>
    </row>
    <row r="11" spans="1:10" x14ac:dyDescent="0.25">
      <c r="A11" s="67"/>
      <c r="B11" s="67"/>
      <c r="C11" s="43" t="s">
        <v>211</v>
      </c>
      <c r="D11" s="27">
        <f>D207+D18+D67</f>
        <v>21043.530000000002</v>
      </c>
      <c r="E11" s="27">
        <f>E207+E18+E67</f>
        <v>21083.129999999997</v>
      </c>
      <c r="F11" s="27">
        <f>F207+F18+F67</f>
        <v>10793.7</v>
      </c>
      <c r="G11" s="27">
        <f>G207+G18+G67</f>
        <v>10793.7</v>
      </c>
      <c r="H11" s="27">
        <f>H207+H18+H67</f>
        <v>10793.7</v>
      </c>
      <c r="I11" s="27">
        <f>SUM(D11:H11)</f>
        <v>74507.759999999995</v>
      </c>
    </row>
    <row r="12" spans="1:10" ht="15.75" customHeight="1" x14ac:dyDescent="0.25">
      <c r="A12" s="67"/>
      <c r="B12" s="67"/>
      <c r="C12" s="43" t="s">
        <v>212</v>
      </c>
      <c r="D12" s="27"/>
      <c r="E12" s="27"/>
      <c r="F12" s="27"/>
      <c r="G12" s="27"/>
      <c r="H12" s="27"/>
      <c r="I12" s="27"/>
    </row>
    <row r="13" spans="1:10" x14ac:dyDescent="0.25">
      <c r="A13" s="67"/>
      <c r="B13" s="67"/>
      <c r="C13" s="43" t="s">
        <v>213</v>
      </c>
      <c r="D13" s="27">
        <f>D20+D69+D209+D335</f>
        <v>27018.548700000003</v>
      </c>
      <c r="E13" s="27">
        <f>E20+E69+E209+E335</f>
        <v>32387.501799999998</v>
      </c>
      <c r="F13" s="27">
        <f>F20+F69+F209+F335</f>
        <v>34311.629000000001</v>
      </c>
      <c r="G13" s="27">
        <f>G20+G69+G209+G335</f>
        <v>34197.300000000003</v>
      </c>
      <c r="H13" s="27">
        <f>H20+H69+H209+H335</f>
        <v>34197.300000000003</v>
      </c>
      <c r="I13" s="27">
        <f>SUM(D13:H13)</f>
        <v>162112.2795</v>
      </c>
    </row>
    <row r="14" spans="1:10" x14ac:dyDescent="0.25">
      <c r="A14" s="67"/>
      <c r="B14" s="67"/>
      <c r="C14" s="43" t="s">
        <v>214</v>
      </c>
      <c r="D14" s="27"/>
      <c r="E14" s="27"/>
      <c r="F14" s="27"/>
      <c r="G14" s="27"/>
      <c r="H14" s="27"/>
      <c r="I14" s="27"/>
    </row>
    <row r="15" spans="1:10" s="15" customFormat="1" ht="14.25" x14ac:dyDescent="0.25">
      <c r="A15" s="79" t="s">
        <v>25</v>
      </c>
      <c r="B15" s="79" t="s">
        <v>215</v>
      </c>
      <c r="C15" s="44" t="s">
        <v>208</v>
      </c>
      <c r="D15" s="33">
        <f>D20+D18</f>
        <v>2075.1786999999999</v>
      </c>
      <c r="E15" s="33">
        <f>E20+E18</f>
        <v>89.52</v>
      </c>
      <c r="F15" s="33">
        <f>F20+F18</f>
        <v>300</v>
      </c>
      <c r="G15" s="33">
        <f>G20+G18</f>
        <v>300</v>
      </c>
      <c r="H15" s="33">
        <f>H20+H18</f>
        <v>300</v>
      </c>
      <c r="I15" s="33">
        <f>SUM(D15:H15)</f>
        <v>3064.6986999999999</v>
      </c>
    </row>
    <row r="16" spans="1:10" s="15" customFormat="1" ht="14.25" x14ac:dyDescent="0.25">
      <c r="A16" s="79"/>
      <c r="B16" s="79"/>
      <c r="C16" s="44" t="s">
        <v>209</v>
      </c>
      <c r="D16" s="33"/>
      <c r="E16" s="33"/>
      <c r="F16" s="33"/>
      <c r="G16" s="33"/>
      <c r="H16" s="33"/>
      <c r="I16" s="33"/>
    </row>
    <row r="17" spans="1:9" s="15" customFormat="1" ht="18" customHeight="1" x14ac:dyDescent="0.25">
      <c r="A17" s="79"/>
      <c r="B17" s="79"/>
      <c r="C17" s="44" t="s">
        <v>210</v>
      </c>
      <c r="D17" s="33"/>
      <c r="E17" s="33"/>
      <c r="F17" s="33"/>
      <c r="G17" s="33"/>
      <c r="H17" s="33"/>
      <c r="I17" s="33"/>
    </row>
    <row r="18" spans="1:9" s="15" customFormat="1" ht="14.25" x14ac:dyDescent="0.25">
      <c r="A18" s="79"/>
      <c r="B18" s="79"/>
      <c r="C18" s="44" t="s">
        <v>211</v>
      </c>
      <c r="D18" s="33">
        <f>D53+D60</f>
        <v>1165.6299999999999</v>
      </c>
      <c r="E18" s="33">
        <f>E53+E60</f>
        <v>0</v>
      </c>
      <c r="F18" s="33">
        <f>F53+F60</f>
        <v>0</v>
      </c>
      <c r="G18" s="33">
        <f>G53+G60</f>
        <v>0</v>
      </c>
      <c r="H18" s="33">
        <f>H53+H60</f>
        <v>0</v>
      </c>
      <c r="I18" s="33">
        <f>SUM(D18:H18)</f>
        <v>1165.6299999999999</v>
      </c>
    </row>
    <row r="19" spans="1:9" s="15" customFormat="1" ht="28.5" x14ac:dyDescent="0.25">
      <c r="A19" s="79"/>
      <c r="B19" s="79"/>
      <c r="C19" s="44" t="s">
        <v>212</v>
      </c>
      <c r="D19" s="33"/>
      <c r="E19" s="33"/>
      <c r="F19" s="33"/>
      <c r="G19" s="33"/>
      <c r="H19" s="33"/>
      <c r="I19" s="33"/>
    </row>
    <row r="20" spans="1:9" s="15" customFormat="1" ht="14.25" x14ac:dyDescent="0.25">
      <c r="A20" s="79"/>
      <c r="B20" s="79"/>
      <c r="C20" s="44" t="s">
        <v>213</v>
      </c>
      <c r="D20" s="33">
        <f>D27+D34+D41+D48</f>
        <v>909.54870000000005</v>
      </c>
      <c r="E20" s="33">
        <f>E27+E34+E41+E48-0.01</f>
        <v>89.52</v>
      </c>
      <c r="F20" s="33">
        <f>F27+F34+F41+F48</f>
        <v>300</v>
      </c>
      <c r="G20" s="33">
        <f>G27+G34+G41+G48</f>
        <v>300</v>
      </c>
      <c r="H20" s="33">
        <f>H27+H34+H41+H48</f>
        <v>300</v>
      </c>
      <c r="I20" s="33">
        <f>SUM(D20:H20)</f>
        <v>1899.0687</v>
      </c>
    </row>
    <row r="21" spans="1:9" s="15" customFormat="1" x14ac:dyDescent="0.25">
      <c r="A21" s="79"/>
      <c r="B21" s="79"/>
      <c r="C21" s="44" t="s">
        <v>214</v>
      </c>
      <c r="D21" s="33"/>
      <c r="E21" s="33"/>
      <c r="F21" s="33"/>
      <c r="G21" s="33"/>
      <c r="H21" s="33"/>
      <c r="I21" s="27"/>
    </row>
    <row r="22" spans="1:9" x14ac:dyDescent="0.25">
      <c r="A22" s="60" t="s">
        <v>30</v>
      </c>
      <c r="B22" s="60" t="s">
        <v>31</v>
      </c>
      <c r="C22" s="43" t="s">
        <v>208</v>
      </c>
      <c r="D22" s="27">
        <f>D27</f>
        <v>431.74</v>
      </c>
      <c r="E22" s="27">
        <f>E27</f>
        <v>49.08</v>
      </c>
      <c r="F22" s="27">
        <f>F27</f>
        <v>100</v>
      </c>
      <c r="G22" s="27">
        <f>G27</f>
        <v>100</v>
      </c>
      <c r="H22" s="27">
        <f>H27</f>
        <v>100</v>
      </c>
      <c r="I22" s="27">
        <f>SUM(D22:H22)</f>
        <v>780.81999999999994</v>
      </c>
    </row>
    <row r="23" spans="1:9" x14ac:dyDescent="0.25">
      <c r="A23" s="61"/>
      <c r="B23" s="61"/>
      <c r="C23" s="43" t="s">
        <v>209</v>
      </c>
      <c r="D23" s="27"/>
      <c r="E23" s="27"/>
      <c r="F23" s="27"/>
      <c r="G23" s="27"/>
      <c r="H23" s="27"/>
      <c r="I23" s="27"/>
    </row>
    <row r="24" spans="1:9" x14ac:dyDescent="0.25">
      <c r="A24" s="61"/>
      <c r="B24" s="61"/>
      <c r="C24" s="43" t="s">
        <v>210</v>
      </c>
      <c r="D24" s="27"/>
      <c r="E24" s="27"/>
      <c r="F24" s="27"/>
      <c r="G24" s="27"/>
      <c r="H24" s="27"/>
      <c r="I24" s="27"/>
    </row>
    <row r="25" spans="1:9" x14ac:dyDescent="0.25">
      <c r="A25" s="61"/>
      <c r="B25" s="61"/>
      <c r="C25" s="43" t="s">
        <v>211</v>
      </c>
      <c r="D25" s="27"/>
      <c r="E25" s="27"/>
      <c r="F25" s="27"/>
      <c r="G25" s="27"/>
      <c r="H25" s="27"/>
      <c r="I25" s="27"/>
    </row>
    <row r="26" spans="1:9" ht="16.5" customHeight="1" x14ac:dyDescent="0.25">
      <c r="A26" s="61"/>
      <c r="B26" s="61"/>
      <c r="C26" s="43" t="s">
        <v>212</v>
      </c>
      <c r="D26" s="27"/>
      <c r="E26" s="27"/>
      <c r="F26" s="27"/>
      <c r="G26" s="27"/>
      <c r="H26" s="27"/>
      <c r="I26" s="27"/>
    </row>
    <row r="27" spans="1:9" x14ac:dyDescent="0.25">
      <c r="A27" s="61"/>
      <c r="B27" s="61"/>
      <c r="C27" s="43" t="s">
        <v>213</v>
      </c>
      <c r="D27" s="27">
        <f>'[1]Приложение 3'!H28</f>
        <v>431.74</v>
      </c>
      <c r="E27" s="27">
        <f>'[1]Приложение 3'!I28</f>
        <v>49.08</v>
      </c>
      <c r="F27" s="27">
        <f>'[1]Приложение 3'!J28</f>
        <v>100</v>
      </c>
      <c r="G27" s="27">
        <f>'[1]Приложение 3'!K28</f>
        <v>100</v>
      </c>
      <c r="H27" s="27">
        <f>'[1]Приложение 3'!L28</f>
        <v>100</v>
      </c>
      <c r="I27" s="27">
        <f>SUM(D27:H27)</f>
        <v>780.81999999999994</v>
      </c>
    </row>
    <row r="28" spans="1:9" x14ac:dyDescent="0.25">
      <c r="A28" s="62"/>
      <c r="B28" s="62"/>
      <c r="C28" s="43" t="s">
        <v>214</v>
      </c>
      <c r="D28" s="27" t="s">
        <v>216</v>
      </c>
      <c r="E28" s="27"/>
      <c r="F28" s="27"/>
      <c r="G28" s="27"/>
      <c r="H28" s="27"/>
      <c r="I28" s="27"/>
    </row>
    <row r="29" spans="1:9" ht="88.5" customHeight="1" x14ac:dyDescent="0.25">
      <c r="A29" s="60" t="s">
        <v>36</v>
      </c>
      <c r="B29" s="60" t="s">
        <v>217</v>
      </c>
      <c r="C29" s="43" t="s">
        <v>208</v>
      </c>
      <c r="D29" s="27">
        <f>D34</f>
        <v>89.54</v>
      </c>
      <c r="E29" s="27">
        <f>E34</f>
        <v>40.450000000000003</v>
      </c>
      <c r="F29" s="27">
        <f>F34</f>
        <v>200</v>
      </c>
      <c r="G29" s="27">
        <f>G34</f>
        <v>200</v>
      </c>
      <c r="H29" s="27">
        <f>H34</f>
        <v>200</v>
      </c>
      <c r="I29" s="27">
        <f>SUM(D29:H29)</f>
        <v>729.99</v>
      </c>
    </row>
    <row r="30" spans="1:9" ht="28.5" customHeight="1" x14ac:dyDescent="0.25">
      <c r="A30" s="61"/>
      <c r="B30" s="61"/>
      <c r="C30" s="43" t="s">
        <v>209</v>
      </c>
      <c r="D30" s="27"/>
      <c r="E30" s="27"/>
      <c r="F30" s="27"/>
      <c r="G30" s="27"/>
      <c r="H30" s="27"/>
      <c r="I30" s="27"/>
    </row>
    <row r="31" spans="1:9" ht="16.5" customHeight="1" x14ac:dyDescent="0.25">
      <c r="A31" s="61"/>
      <c r="B31" s="61"/>
      <c r="C31" s="43" t="s">
        <v>210</v>
      </c>
      <c r="D31" s="27"/>
      <c r="E31" s="27"/>
      <c r="F31" s="27"/>
      <c r="G31" s="27"/>
      <c r="H31" s="27"/>
      <c r="I31" s="27"/>
    </row>
    <row r="32" spans="1:9" ht="15.75" customHeight="1" x14ac:dyDescent="0.25">
      <c r="A32" s="61"/>
      <c r="B32" s="61"/>
      <c r="C32" s="43" t="s">
        <v>211</v>
      </c>
      <c r="D32" s="27"/>
      <c r="E32" s="27"/>
      <c r="F32" s="27"/>
      <c r="G32" s="27"/>
      <c r="H32" s="27"/>
      <c r="I32" s="27"/>
    </row>
    <row r="33" spans="1:9" ht="15" customHeight="1" x14ac:dyDescent="0.25">
      <c r="A33" s="61"/>
      <c r="B33" s="61"/>
      <c r="C33" s="43" t="s">
        <v>212</v>
      </c>
      <c r="D33" s="27"/>
      <c r="E33" s="27"/>
      <c r="F33" s="27"/>
      <c r="G33" s="27"/>
      <c r="H33" s="27"/>
      <c r="I33" s="27"/>
    </row>
    <row r="34" spans="1:9" ht="15" customHeight="1" x14ac:dyDescent="0.25">
      <c r="A34" s="61"/>
      <c r="B34" s="61"/>
      <c r="C34" s="43" t="s">
        <v>213</v>
      </c>
      <c r="D34" s="27">
        <f>'[1]Приложение 3'!H31</f>
        <v>89.54</v>
      </c>
      <c r="E34" s="27">
        <f>'[1]Приложение 3'!I31</f>
        <v>40.450000000000003</v>
      </c>
      <c r="F34" s="27">
        <f>'[1]Приложение 3'!J31</f>
        <v>200</v>
      </c>
      <c r="G34" s="27">
        <f>'[1]Приложение 3'!K31</f>
        <v>200</v>
      </c>
      <c r="H34" s="27">
        <f>'[1]Приложение 3'!L31</f>
        <v>200</v>
      </c>
      <c r="I34" s="27">
        <f>SUM(D34:H34)</f>
        <v>729.99</v>
      </c>
    </row>
    <row r="35" spans="1:9" ht="16.5" customHeight="1" x14ac:dyDescent="0.25">
      <c r="A35" s="62"/>
      <c r="B35" s="62"/>
      <c r="C35" s="43" t="s">
        <v>214</v>
      </c>
      <c r="D35" s="27" t="s">
        <v>216</v>
      </c>
      <c r="E35" s="27"/>
      <c r="F35" s="27"/>
      <c r="G35" s="27"/>
      <c r="H35" s="27"/>
      <c r="I35" s="27"/>
    </row>
    <row r="36" spans="1:9" x14ac:dyDescent="0.25">
      <c r="A36" s="60" t="s">
        <v>39</v>
      </c>
      <c r="B36" s="60" t="s">
        <v>40</v>
      </c>
      <c r="C36" s="43" t="s">
        <v>208</v>
      </c>
      <c r="D36" s="27">
        <f>D41</f>
        <v>5.8700000000000002E-2</v>
      </c>
      <c r="E36" s="27">
        <f>E41</f>
        <v>0</v>
      </c>
      <c r="F36" s="27">
        <f>F41</f>
        <v>0</v>
      </c>
      <c r="G36" s="27">
        <f>G41</f>
        <v>0</v>
      </c>
      <c r="H36" s="27">
        <f>H41</f>
        <v>0</v>
      </c>
      <c r="I36" s="27">
        <f>SUM(D36:H36)</f>
        <v>5.8700000000000002E-2</v>
      </c>
    </row>
    <row r="37" spans="1:9" x14ac:dyDescent="0.25">
      <c r="A37" s="61"/>
      <c r="B37" s="61"/>
      <c r="C37" s="43" t="s">
        <v>209</v>
      </c>
      <c r="D37" s="27"/>
      <c r="E37" s="27"/>
      <c r="F37" s="27"/>
      <c r="G37" s="27"/>
      <c r="H37" s="27"/>
      <c r="I37" s="27"/>
    </row>
    <row r="38" spans="1:9" x14ac:dyDescent="0.25">
      <c r="A38" s="61"/>
      <c r="B38" s="61"/>
      <c r="C38" s="43" t="s">
        <v>210</v>
      </c>
      <c r="D38" s="27"/>
      <c r="E38" s="27"/>
      <c r="F38" s="27"/>
      <c r="G38" s="27"/>
      <c r="H38" s="27"/>
      <c r="I38" s="27"/>
    </row>
    <row r="39" spans="1:9" x14ac:dyDescent="0.25">
      <c r="A39" s="61"/>
      <c r="B39" s="61"/>
      <c r="C39" s="43" t="s">
        <v>211</v>
      </c>
      <c r="D39" s="27"/>
      <c r="E39" s="27"/>
      <c r="F39" s="27"/>
      <c r="G39" s="27"/>
      <c r="H39" s="27"/>
      <c r="I39" s="27"/>
    </row>
    <row r="40" spans="1:9" ht="18" customHeight="1" x14ac:dyDescent="0.25">
      <c r="A40" s="61"/>
      <c r="B40" s="61"/>
      <c r="C40" s="43" t="s">
        <v>212</v>
      </c>
      <c r="D40" s="27"/>
      <c r="E40" s="27"/>
      <c r="F40" s="27"/>
      <c r="G40" s="27"/>
      <c r="H40" s="27"/>
      <c r="I40" s="27"/>
    </row>
    <row r="41" spans="1:9" x14ac:dyDescent="0.25">
      <c r="A41" s="61"/>
      <c r="B41" s="61"/>
      <c r="C41" s="43" t="s">
        <v>213</v>
      </c>
      <c r="D41" s="27">
        <f>58.7/1000</f>
        <v>5.8700000000000002E-2</v>
      </c>
      <c r="E41" s="27">
        <v>0</v>
      </c>
      <c r="F41" s="27">
        <v>0</v>
      </c>
      <c r="G41" s="27">
        <v>0</v>
      </c>
      <c r="H41" s="27">
        <v>0</v>
      </c>
      <c r="I41" s="27">
        <f>SUM(D41:H41)</f>
        <v>5.8700000000000002E-2</v>
      </c>
    </row>
    <row r="42" spans="1:9" x14ac:dyDescent="0.25">
      <c r="A42" s="62"/>
      <c r="B42" s="62"/>
      <c r="C42" s="43" t="s">
        <v>214</v>
      </c>
      <c r="D42" s="27" t="s">
        <v>216</v>
      </c>
      <c r="E42" s="27"/>
      <c r="F42" s="27"/>
      <c r="G42" s="27"/>
      <c r="H42" s="27"/>
      <c r="I42" s="27"/>
    </row>
    <row r="43" spans="1:9" x14ac:dyDescent="0.25">
      <c r="A43" s="60" t="s">
        <v>45</v>
      </c>
      <c r="B43" s="60" t="s">
        <v>46</v>
      </c>
      <c r="C43" s="43" t="s">
        <v>208</v>
      </c>
      <c r="D43" s="27">
        <f>D48</f>
        <v>388.21</v>
      </c>
      <c r="E43" s="27">
        <f>E48</f>
        <v>0</v>
      </c>
      <c r="F43" s="27">
        <f>F48</f>
        <v>0</v>
      </c>
      <c r="G43" s="27">
        <f>G48</f>
        <v>0</v>
      </c>
      <c r="H43" s="27">
        <f>H48</f>
        <v>0</v>
      </c>
      <c r="I43" s="27">
        <f>SUM(D43:H43)</f>
        <v>388.21</v>
      </c>
    </row>
    <row r="44" spans="1:9" x14ac:dyDescent="0.25">
      <c r="A44" s="61"/>
      <c r="B44" s="61"/>
      <c r="C44" s="43" t="s">
        <v>209</v>
      </c>
      <c r="D44" s="27"/>
      <c r="E44" s="27"/>
      <c r="F44" s="27"/>
      <c r="G44" s="27"/>
      <c r="H44" s="27"/>
      <c r="I44" s="27"/>
    </row>
    <row r="45" spans="1:9" x14ac:dyDescent="0.25">
      <c r="A45" s="61"/>
      <c r="B45" s="61"/>
      <c r="C45" s="43" t="s">
        <v>210</v>
      </c>
      <c r="D45" s="27"/>
      <c r="E45" s="27"/>
      <c r="F45" s="27"/>
      <c r="G45" s="27"/>
      <c r="H45" s="27"/>
      <c r="I45" s="27"/>
    </row>
    <row r="46" spans="1:9" x14ac:dyDescent="0.25">
      <c r="A46" s="61"/>
      <c r="B46" s="61"/>
      <c r="C46" s="43" t="s">
        <v>211</v>
      </c>
      <c r="D46" s="27"/>
      <c r="E46" s="27"/>
      <c r="F46" s="27"/>
      <c r="G46" s="27"/>
      <c r="H46" s="27"/>
      <c r="I46" s="27"/>
    </row>
    <row r="47" spans="1:9" ht="18" customHeight="1" x14ac:dyDescent="0.25">
      <c r="A47" s="61"/>
      <c r="B47" s="61"/>
      <c r="C47" s="43" t="s">
        <v>212</v>
      </c>
      <c r="D47" s="27"/>
      <c r="E47" s="27"/>
      <c r="F47" s="27"/>
      <c r="G47" s="27"/>
      <c r="H47" s="27"/>
      <c r="I47" s="27"/>
    </row>
    <row r="48" spans="1:9" x14ac:dyDescent="0.25">
      <c r="A48" s="61"/>
      <c r="B48" s="61"/>
      <c r="C48" s="43" t="s">
        <v>213</v>
      </c>
      <c r="D48" s="27">
        <f>'[1]Приложение 3'!H37</f>
        <v>388.21</v>
      </c>
      <c r="E48" s="27">
        <f>'[1]Приложение 3'!I37</f>
        <v>0</v>
      </c>
      <c r="F48" s="27">
        <f>'[1]Приложение 3'!J37</f>
        <v>0</v>
      </c>
      <c r="G48" s="27">
        <f>'[1]Приложение 3'!K37</f>
        <v>0</v>
      </c>
      <c r="H48" s="27">
        <f>'[1]Приложение 3'!L37</f>
        <v>0</v>
      </c>
      <c r="I48" s="27">
        <f>SUM(D48:H48)</f>
        <v>388.21</v>
      </c>
    </row>
    <row r="49" spans="1:10" x14ac:dyDescent="0.25">
      <c r="A49" s="62"/>
      <c r="B49" s="62"/>
      <c r="C49" s="43" t="s">
        <v>214</v>
      </c>
      <c r="D49" s="27" t="s">
        <v>216</v>
      </c>
      <c r="E49" s="27"/>
      <c r="F49" s="27"/>
      <c r="G49" s="27"/>
      <c r="H49" s="27"/>
      <c r="I49" s="27"/>
    </row>
    <row r="50" spans="1:10" x14ac:dyDescent="0.25">
      <c r="A50" s="60" t="s">
        <v>49</v>
      </c>
      <c r="B50" s="60" t="s">
        <v>50</v>
      </c>
      <c r="C50" s="43" t="s">
        <v>208</v>
      </c>
      <c r="D50" s="27">
        <f>D55+D53</f>
        <v>1136.8</v>
      </c>
      <c r="E50" s="27">
        <f>E55+E53</f>
        <v>0</v>
      </c>
      <c r="F50" s="27">
        <f>F55+F53</f>
        <v>0</v>
      </c>
      <c r="G50" s="27">
        <f>G55+G53</f>
        <v>0</v>
      </c>
      <c r="H50" s="27">
        <f>H55+H53</f>
        <v>0</v>
      </c>
      <c r="I50" s="27">
        <f>SUM(D50:H50)</f>
        <v>1136.8</v>
      </c>
    </row>
    <row r="51" spans="1:10" x14ac:dyDescent="0.25">
      <c r="A51" s="61"/>
      <c r="B51" s="61"/>
      <c r="C51" s="43" t="s">
        <v>209</v>
      </c>
      <c r="D51" s="27"/>
      <c r="E51" s="27"/>
      <c r="F51" s="27"/>
      <c r="G51" s="27"/>
      <c r="H51" s="27"/>
      <c r="I51" s="27"/>
    </row>
    <row r="52" spans="1:10" x14ac:dyDescent="0.25">
      <c r="A52" s="61"/>
      <c r="B52" s="61"/>
      <c r="C52" s="43" t="s">
        <v>210</v>
      </c>
      <c r="D52" s="27"/>
      <c r="E52" s="27"/>
      <c r="F52" s="27"/>
      <c r="G52" s="27"/>
      <c r="H52" s="27"/>
      <c r="I52" s="27"/>
    </row>
    <row r="53" spans="1:10" x14ac:dyDescent="0.25">
      <c r="A53" s="61"/>
      <c r="B53" s="61"/>
      <c r="C53" s="43" t="s">
        <v>211</v>
      </c>
      <c r="D53" s="27">
        <f>'[1]Приложение 3'!H38</f>
        <v>1136.8</v>
      </c>
      <c r="E53" s="27">
        <f>'[1]Приложение 3'!I38</f>
        <v>0</v>
      </c>
      <c r="F53" s="27">
        <f>'[1]Приложение 3'!J38</f>
        <v>0</v>
      </c>
      <c r="G53" s="27">
        <f>'[1]Приложение 3'!K38</f>
        <v>0</v>
      </c>
      <c r="H53" s="27">
        <f>'[1]Приложение 3'!L38</f>
        <v>0</v>
      </c>
      <c r="I53" s="27">
        <f>SUM(D53:H53)</f>
        <v>1136.8</v>
      </c>
    </row>
    <row r="54" spans="1:10" ht="18" customHeight="1" x14ac:dyDescent="0.25">
      <c r="A54" s="61"/>
      <c r="B54" s="61"/>
      <c r="C54" s="43" t="s">
        <v>212</v>
      </c>
      <c r="D54" s="27"/>
      <c r="E54" s="27"/>
      <c r="F54" s="27"/>
      <c r="G54" s="27"/>
      <c r="H54" s="27"/>
      <c r="I54" s="27"/>
    </row>
    <row r="55" spans="1:10" x14ac:dyDescent="0.25">
      <c r="A55" s="61"/>
      <c r="B55" s="61"/>
      <c r="C55" s="43" t="s">
        <v>213</v>
      </c>
      <c r="D55" s="27"/>
      <c r="E55" s="27"/>
      <c r="F55" s="27"/>
      <c r="G55" s="27"/>
      <c r="H55" s="27"/>
      <c r="I55" s="27"/>
    </row>
    <row r="56" spans="1:10" x14ac:dyDescent="0.25">
      <c r="A56" s="62"/>
      <c r="B56" s="62"/>
      <c r="C56" s="43" t="s">
        <v>214</v>
      </c>
      <c r="D56" s="27" t="s">
        <v>216</v>
      </c>
      <c r="E56" s="27"/>
      <c r="F56" s="27"/>
      <c r="G56" s="27"/>
      <c r="H56" s="27"/>
      <c r="I56" s="27"/>
    </row>
    <row r="57" spans="1:10" ht="15" customHeight="1" x14ac:dyDescent="0.25">
      <c r="A57" s="60" t="s">
        <v>61</v>
      </c>
      <c r="B57" s="60" t="s">
        <v>62</v>
      </c>
      <c r="C57" s="43" t="s">
        <v>208</v>
      </c>
      <c r="D57" s="27">
        <f>D62+D60</f>
        <v>28.83</v>
      </c>
      <c r="E57" s="27">
        <f>E62+E60</f>
        <v>0</v>
      </c>
      <c r="F57" s="27">
        <f>F62+F60</f>
        <v>0</v>
      </c>
      <c r="G57" s="27">
        <f>G62+G60</f>
        <v>0</v>
      </c>
      <c r="H57" s="27">
        <f>H62+H60</f>
        <v>0</v>
      </c>
      <c r="I57" s="27">
        <f>SUM(D57:H57)</f>
        <v>28.83</v>
      </c>
    </row>
    <row r="58" spans="1:10" x14ac:dyDescent="0.25">
      <c r="A58" s="61"/>
      <c r="B58" s="61"/>
      <c r="C58" s="43" t="s">
        <v>209</v>
      </c>
      <c r="D58" s="27"/>
      <c r="E58" s="27"/>
      <c r="F58" s="27"/>
      <c r="G58" s="27"/>
      <c r="H58" s="27"/>
      <c r="I58" s="27"/>
    </row>
    <row r="59" spans="1:10" x14ac:dyDescent="0.25">
      <c r="A59" s="61"/>
      <c r="B59" s="61"/>
      <c r="C59" s="43" t="s">
        <v>210</v>
      </c>
      <c r="D59" s="27"/>
      <c r="E59" s="27"/>
      <c r="F59" s="27"/>
      <c r="G59" s="27"/>
      <c r="H59" s="27"/>
      <c r="I59" s="27"/>
    </row>
    <row r="60" spans="1:10" x14ac:dyDescent="0.25">
      <c r="A60" s="61"/>
      <c r="B60" s="61"/>
      <c r="C60" s="43" t="s">
        <v>211</v>
      </c>
      <c r="D60" s="27">
        <f>'[1]Приложение 3'!H51+'[1]Приложение 3'!H52</f>
        <v>28.83</v>
      </c>
      <c r="E60" s="27">
        <f>'[1]Приложение 3'!I51+'[1]Приложение 3'!I52</f>
        <v>0</v>
      </c>
      <c r="F60" s="27">
        <f>'[1]Приложение 3'!J51+'[1]Приложение 3'!J52</f>
        <v>0</v>
      </c>
      <c r="G60" s="27">
        <f>'[1]Приложение 3'!K51+'[1]Приложение 3'!K52</f>
        <v>0</v>
      </c>
      <c r="H60" s="27">
        <f>'[1]Приложение 3'!L51+'[1]Приложение 3'!L52</f>
        <v>0</v>
      </c>
      <c r="I60" s="27">
        <f>SUM(D60:H60)</f>
        <v>28.83</v>
      </c>
    </row>
    <row r="61" spans="1:10" x14ac:dyDescent="0.25">
      <c r="A61" s="61"/>
      <c r="B61" s="61"/>
      <c r="C61" s="43" t="s">
        <v>212</v>
      </c>
      <c r="D61" s="27"/>
      <c r="E61" s="27"/>
      <c r="F61" s="27"/>
      <c r="G61" s="27"/>
      <c r="H61" s="27"/>
      <c r="I61" s="27"/>
    </row>
    <row r="62" spans="1:10" x14ac:dyDescent="0.25">
      <c r="A62" s="61"/>
      <c r="B62" s="61"/>
      <c r="C62" s="43" t="s">
        <v>213</v>
      </c>
      <c r="D62" s="27"/>
      <c r="E62" s="27"/>
      <c r="F62" s="27"/>
      <c r="G62" s="27"/>
      <c r="H62" s="27"/>
      <c r="I62" s="27"/>
    </row>
    <row r="63" spans="1:10" x14ac:dyDescent="0.25">
      <c r="A63" s="62"/>
      <c r="B63" s="62"/>
      <c r="C63" s="43" t="s">
        <v>214</v>
      </c>
      <c r="D63" s="27" t="s">
        <v>216</v>
      </c>
      <c r="E63" s="27"/>
      <c r="F63" s="27"/>
      <c r="G63" s="27"/>
      <c r="H63" s="27"/>
      <c r="I63" s="27"/>
    </row>
    <row r="64" spans="1:10" s="15" customFormat="1" ht="14.25" x14ac:dyDescent="0.25">
      <c r="A64" s="79" t="s">
        <v>66</v>
      </c>
      <c r="B64" s="79" t="s">
        <v>67</v>
      </c>
      <c r="C64" s="44" t="s">
        <v>208</v>
      </c>
      <c r="D64" s="33">
        <f>D69+D67</f>
        <v>14085.43</v>
      </c>
      <c r="E64" s="33">
        <f>E69+E67</f>
        <v>20426.300000000003</v>
      </c>
      <c r="F64" s="33">
        <f>F69+F67</f>
        <v>16961.62</v>
      </c>
      <c r="G64" s="33">
        <f>G69+G67</f>
        <v>16961.62</v>
      </c>
      <c r="H64" s="33">
        <f>H69+H67</f>
        <v>16961.62</v>
      </c>
      <c r="I64" s="33">
        <f>SUM(D64:H64)</f>
        <v>85396.59</v>
      </c>
      <c r="J64" s="31"/>
    </row>
    <row r="65" spans="1:9" s="15" customFormat="1" ht="14.25" x14ac:dyDescent="0.25">
      <c r="A65" s="79"/>
      <c r="B65" s="79"/>
      <c r="C65" s="44" t="s">
        <v>209</v>
      </c>
      <c r="D65" s="33"/>
      <c r="E65" s="33"/>
      <c r="F65" s="33"/>
      <c r="G65" s="33"/>
      <c r="H65" s="33"/>
      <c r="I65" s="33"/>
    </row>
    <row r="66" spans="1:9" s="15" customFormat="1" ht="15.75" customHeight="1" x14ac:dyDescent="0.25">
      <c r="A66" s="79"/>
      <c r="B66" s="79"/>
      <c r="C66" s="44" t="s">
        <v>210</v>
      </c>
      <c r="D66" s="33"/>
      <c r="E66" s="33"/>
      <c r="F66" s="33"/>
      <c r="G66" s="33"/>
      <c r="H66" s="33"/>
      <c r="I66" s="33"/>
    </row>
    <row r="67" spans="1:9" s="15" customFormat="1" ht="14.25" x14ac:dyDescent="0.25">
      <c r="A67" s="79"/>
      <c r="B67" s="79"/>
      <c r="C67" s="44" t="s">
        <v>211</v>
      </c>
      <c r="D67" s="33">
        <f>D144+D109+D172</f>
        <v>1000</v>
      </c>
      <c r="E67" s="33">
        <f>E144+E109+E172</f>
        <v>5027.3099999999995</v>
      </c>
      <c r="F67" s="33">
        <f>F144+F109+F172</f>
        <v>0</v>
      </c>
      <c r="G67" s="33">
        <f>G144+G109+G172</f>
        <v>0</v>
      </c>
      <c r="H67" s="33">
        <f>H144+H109+H172</f>
        <v>0</v>
      </c>
      <c r="I67" s="33">
        <f>SUM(D67:H67)</f>
        <v>6027.3099999999995</v>
      </c>
    </row>
    <row r="68" spans="1:9" s="15" customFormat="1" ht="28.5" x14ac:dyDescent="0.25">
      <c r="A68" s="79"/>
      <c r="B68" s="79"/>
      <c r="C68" s="44" t="s">
        <v>212</v>
      </c>
      <c r="D68" s="33"/>
      <c r="E68" s="33"/>
      <c r="F68" s="33"/>
      <c r="G68" s="33"/>
      <c r="H68" s="33"/>
      <c r="I68" s="33"/>
    </row>
    <row r="69" spans="1:9" s="15" customFormat="1" ht="14.25" x14ac:dyDescent="0.25">
      <c r="A69" s="79"/>
      <c r="B69" s="79"/>
      <c r="C69" s="44" t="s">
        <v>213</v>
      </c>
      <c r="D69" s="33">
        <f>D76+D83+D90+D97+D104+D111+D118+D125+D132+D139+D153+D160+D167+D181+D188+D195+D202</f>
        <v>13085.43</v>
      </c>
      <c r="E69" s="33">
        <f>E76+E83+E90+E97+E104+E111+E118+E125+E132+E139+E153+E160+E167+E181+E188+E195+E202</f>
        <v>15398.990000000002</v>
      </c>
      <c r="F69" s="33">
        <f>F76+F83+F90+F97+F104+F111+F118+F125+F132+F139+F153+F160+F167+F181+F188+F195+F202</f>
        <v>16961.62</v>
      </c>
      <c r="G69" s="33">
        <f>G76+G83+G90+G97+G104+G111+G118+G125+G132+G139+G153+G160+G167+G181+G188+G195+G202</f>
        <v>16961.62</v>
      </c>
      <c r="H69" s="33">
        <f>H76+H83+H90+H97+H104+H111+H118+H125+H132+H139+H153+H160+H167+H181+H188+H195+H202</f>
        <v>16961.62</v>
      </c>
      <c r="I69" s="33">
        <f>SUM(D69:H69)</f>
        <v>79369.279999999999</v>
      </c>
    </row>
    <row r="70" spans="1:9" s="15" customFormat="1" x14ac:dyDescent="0.25">
      <c r="A70" s="79"/>
      <c r="B70" s="79"/>
      <c r="C70" s="44" t="s">
        <v>214</v>
      </c>
      <c r="D70" s="33"/>
      <c r="E70" s="33"/>
      <c r="F70" s="33"/>
      <c r="G70" s="33"/>
      <c r="H70" s="33"/>
      <c r="I70" s="27"/>
    </row>
    <row r="71" spans="1:9" x14ac:dyDescent="0.25">
      <c r="A71" s="67" t="s">
        <v>68</v>
      </c>
      <c r="B71" s="67" t="s">
        <v>69</v>
      </c>
      <c r="C71" s="43" t="s">
        <v>208</v>
      </c>
      <c r="D71" s="27">
        <f>D76+D77+D75+D74+D73</f>
        <v>5324.34</v>
      </c>
      <c r="E71" s="27">
        <f>E76+E77+E75+E74+E73</f>
        <v>6701.25</v>
      </c>
      <c r="F71" s="27">
        <f>F76+F77+F75+F74+F73</f>
        <v>7427.3</v>
      </c>
      <c r="G71" s="27">
        <f>G76+G77+G75+G74+G73</f>
        <v>7427.3</v>
      </c>
      <c r="H71" s="27">
        <f>H76+H77+H75+H74+H73</f>
        <v>7427.3</v>
      </c>
      <c r="I71" s="27">
        <f>SUM(D71:H71)</f>
        <v>34307.49</v>
      </c>
    </row>
    <row r="72" spans="1:9" x14ac:dyDescent="0.25">
      <c r="A72" s="67"/>
      <c r="B72" s="67"/>
      <c r="C72" s="43" t="s">
        <v>209</v>
      </c>
      <c r="D72" s="27"/>
      <c r="E72" s="27"/>
      <c r="F72" s="27"/>
      <c r="G72" s="27"/>
      <c r="H72" s="27"/>
      <c r="I72" s="27"/>
    </row>
    <row r="73" spans="1:9" x14ac:dyDescent="0.25">
      <c r="A73" s="67"/>
      <c r="B73" s="67"/>
      <c r="C73" s="43" t="s">
        <v>210</v>
      </c>
      <c r="D73" s="27"/>
      <c r="E73" s="27"/>
      <c r="F73" s="27"/>
      <c r="G73" s="27"/>
      <c r="H73" s="27"/>
      <c r="I73" s="27"/>
    </row>
    <row r="74" spans="1:9" x14ac:dyDescent="0.25">
      <c r="A74" s="67"/>
      <c r="B74" s="67"/>
      <c r="C74" s="43" t="s">
        <v>211</v>
      </c>
      <c r="D74" s="27"/>
      <c r="E74" s="27"/>
      <c r="F74" s="27"/>
      <c r="G74" s="27"/>
      <c r="H74" s="27"/>
      <c r="I74" s="27"/>
    </row>
    <row r="75" spans="1:9" ht="18.75" customHeight="1" x14ac:dyDescent="0.25">
      <c r="A75" s="67"/>
      <c r="B75" s="67"/>
      <c r="C75" s="43" t="s">
        <v>212</v>
      </c>
      <c r="D75" s="27"/>
      <c r="E75" s="27"/>
      <c r="F75" s="27"/>
      <c r="G75" s="27"/>
      <c r="H75" s="27"/>
      <c r="I75" s="27"/>
    </row>
    <row r="76" spans="1:9" x14ac:dyDescent="0.25">
      <c r="A76" s="67"/>
      <c r="B76" s="67"/>
      <c r="C76" s="43" t="s">
        <v>213</v>
      </c>
      <c r="D76" s="27">
        <f>'[1]Приложение 3'!H60</f>
        <v>5324.34</v>
      </c>
      <c r="E76" s="27">
        <f>'[1]Приложение 3'!I60</f>
        <v>6701.25</v>
      </c>
      <c r="F76" s="27">
        <f>'[1]Приложение 3'!J60</f>
        <v>7427.3</v>
      </c>
      <c r="G76" s="27">
        <f>'[1]Приложение 3'!K60</f>
        <v>7427.3</v>
      </c>
      <c r="H76" s="27">
        <f>'[1]Приложение 3'!L60</f>
        <v>7427.3</v>
      </c>
      <c r="I76" s="27">
        <f>SUM(D76:H76)</f>
        <v>34307.49</v>
      </c>
    </row>
    <row r="77" spans="1:9" x14ac:dyDescent="0.25">
      <c r="A77" s="67"/>
      <c r="B77" s="67"/>
      <c r="C77" s="43" t="s">
        <v>214</v>
      </c>
      <c r="D77" s="27"/>
      <c r="E77" s="27"/>
      <c r="F77" s="27"/>
      <c r="G77" s="27"/>
      <c r="H77" s="27"/>
      <c r="I77" s="27"/>
    </row>
    <row r="78" spans="1:9" ht="15" customHeight="1" x14ac:dyDescent="0.25">
      <c r="A78" s="67" t="s">
        <v>72</v>
      </c>
      <c r="B78" s="67" t="s">
        <v>73</v>
      </c>
      <c r="C78" s="43" t="s">
        <v>208</v>
      </c>
      <c r="D78" s="27">
        <f>D83+D84+D82+D81+D80</f>
        <v>2310</v>
      </c>
      <c r="E78" s="27">
        <f>E83+E84+E82+E81+E80</f>
        <v>3913.04</v>
      </c>
      <c r="F78" s="27">
        <f>F83+F84+F82+F81+F80</f>
        <v>2816</v>
      </c>
      <c r="G78" s="27">
        <f>G83+G84+G82+G81+G80</f>
        <v>2816</v>
      </c>
      <c r="H78" s="27">
        <f>H83+H84+H82+H81+H80</f>
        <v>2816</v>
      </c>
      <c r="I78" s="27">
        <f>SUM(D78:H78)</f>
        <v>14671.04</v>
      </c>
    </row>
    <row r="79" spans="1:9" x14ac:dyDescent="0.25">
      <c r="A79" s="67"/>
      <c r="B79" s="67"/>
      <c r="C79" s="43" t="s">
        <v>209</v>
      </c>
      <c r="D79" s="27"/>
      <c r="E79" s="27"/>
      <c r="F79" s="27"/>
      <c r="G79" s="27"/>
      <c r="H79" s="27"/>
      <c r="I79" s="27"/>
    </row>
    <row r="80" spans="1:9" x14ac:dyDescent="0.25">
      <c r="A80" s="67"/>
      <c r="B80" s="67"/>
      <c r="C80" s="43" t="s">
        <v>210</v>
      </c>
      <c r="D80" s="27"/>
      <c r="E80" s="27"/>
      <c r="F80" s="27"/>
      <c r="G80" s="27"/>
      <c r="H80" s="27"/>
      <c r="I80" s="27"/>
    </row>
    <row r="81" spans="1:9" x14ac:dyDescent="0.25">
      <c r="A81" s="67"/>
      <c r="B81" s="67"/>
      <c r="C81" s="43" t="s">
        <v>211</v>
      </c>
      <c r="D81" s="27"/>
      <c r="E81" s="27"/>
      <c r="F81" s="27"/>
      <c r="G81" s="27"/>
      <c r="H81" s="27"/>
      <c r="I81" s="27"/>
    </row>
    <row r="82" spans="1:9" ht="18.75" customHeight="1" x14ac:dyDescent="0.25">
      <c r="A82" s="67"/>
      <c r="B82" s="67"/>
      <c r="C82" s="43" t="s">
        <v>212</v>
      </c>
      <c r="D82" s="27"/>
      <c r="E82" s="27"/>
      <c r="F82" s="27"/>
      <c r="G82" s="27"/>
      <c r="H82" s="27"/>
      <c r="I82" s="27"/>
    </row>
    <row r="83" spans="1:9" x14ac:dyDescent="0.25">
      <c r="A83" s="67"/>
      <c r="B83" s="67"/>
      <c r="C83" s="43" t="s">
        <v>213</v>
      </c>
      <c r="D83" s="27">
        <f>'[1]Приложение 3'!H63</f>
        <v>2310</v>
      </c>
      <c r="E83" s="27">
        <f>'[1]Приложение 3'!I63</f>
        <v>3913.04</v>
      </c>
      <c r="F83" s="27">
        <f>'[1]Приложение 3'!J63</f>
        <v>2816</v>
      </c>
      <c r="G83" s="27">
        <f>'[1]Приложение 3'!K63</f>
        <v>2816</v>
      </c>
      <c r="H83" s="27">
        <f>'[1]Приложение 3'!L63</f>
        <v>2816</v>
      </c>
      <c r="I83" s="27">
        <f>SUM(D83:H83)</f>
        <v>14671.04</v>
      </c>
    </row>
    <row r="84" spans="1:9" x14ac:dyDescent="0.25">
      <c r="A84" s="67"/>
      <c r="B84" s="67"/>
      <c r="C84" s="43" t="s">
        <v>214</v>
      </c>
      <c r="D84" s="27"/>
      <c r="E84" s="27"/>
      <c r="F84" s="27"/>
      <c r="G84" s="27"/>
      <c r="H84" s="27"/>
      <c r="I84" s="27"/>
    </row>
    <row r="85" spans="1:9" ht="15" customHeight="1" x14ac:dyDescent="0.25">
      <c r="A85" s="67" t="s">
        <v>75</v>
      </c>
      <c r="B85" s="67" t="s">
        <v>76</v>
      </c>
      <c r="C85" s="43" t="s">
        <v>208</v>
      </c>
      <c r="D85" s="27">
        <f>D90+D91+D89+D88+D87</f>
        <v>200</v>
      </c>
      <c r="E85" s="27">
        <f>E90+E91+E89+E88+E87</f>
        <v>200</v>
      </c>
      <c r="F85" s="27">
        <f>F90+F91+F89+F88+F87</f>
        <v>200</v>
      </c>
      <c r="G85" s="27">
        <f>G90+G91+G89+G88+G87</f>
        <v>200</v>
      </c>
      <c r="H85" s="27">
        <f>H90+H91+H89+H88+H87</f>
        <v>200</v>
      </c>
      <c r="I85" s="27">
        <f>SUM(D85:H85)</f>
        <v>1000</v>
      </c>
    </row>
    <row r="86" spans="1:9" x14ac:dyDescent="0.25">
      <c r="A86" s="67"/>
      <c r="B86" s="67"/>
      <c r="C86" s="43" t="s">
        <v>209</v>
      </c>
      <c r="D86" s="27"/>
      <c r="E86" s="27"/>
      <c r="F86" s="27"/>
      <c r="G86" s="27"/>
      <c r="H86" s="27"/>
      <c r="I86" s="27"/>
    </row>
    <row r="87" spans="1:9" x14ac:dyDescent="0.25">
      <c r="A87" s="67"/>
      <c r="B87" s="67"/>
      <c r="C87" s="43" t="s">
        <v>210</v>
      </c>
      <c r="D87" s="27"/>
      <c r="E87" s="27"/>
      <c r="F87" s="27"/>
      <c r="G87" s="27"/>
      <c r="H87" s="27"/>
      <c r="I87" s="27"/>
    </row>
    <row r="88" spans="1:9" x14ac:dyDescent="0.25">
      <c r="A88" s="67"/>
      <c r="B88" s="67"/>
      <c r="C88" s="43" t="s">
        <v>211</v>
      </c>
      <c r="D88" s="27"/>
      <c r="E88" s="27"/>
      <c r="F88" s="27"/>
      <c r="G88" s="27"/>
      <c r="H88" s="27"/>
      <c r="I88" s="27"/>
    </row>
    <row r="89" spans="1:9" ht="15.75" customHeight="1" x14ac:dyDescent="0.25">
      <c r="A89" s="67"/>
      <c r="B89" s="67"/>
      <c r="C89" s="43" t="s">
        <v>212</v>
      </c>
      <c r="D89" s="27"/>
      <c r="E89" s="27"/>
      <c r="F89" s="27"/>
      <c r="G89" s="27"/>
      <c r="H89" s="27"/>
      <c r="I89" s="27"/>
    </row>
    <row r="90" spans="1:9" x14ac:dyDescent="0.25">
      <c r="A90" s="67"/>
      <c r="B90" s="67"/>
      <c r="C90" s="43" t="s">
        <v>213</v>
      </c>
      <c r="D90" s="27">
        <f>'[1]Приложение 3'!H66</f>
        <v>200</v>
      </c>
      <c r="E90" s="27">
        <f>'[1]Приложение 3'!I66</f>
        <v>200</v>
      </c>
      <c r="F90" s="27">
        <f>'[1]Приложение 3'!J66</f>
        <v>200</v>
      </c>
      <c r="G90" s="27">
        <f>'[1]Приложение 3'!K66</f>
        <v>200</v>
      </c>
      <c r="H90" s="27">
        <f>'[1]Приложение 3'!L66</f>
        <v>200</v>
      </c>
      <c r="I90" s="27">
        <f>SUM(D90:H90)</f>
        <v>1000</v>
      </c>
    </row>
    <row r="91" spans="1:9" x14ac:dyDescent="0.25">
      <c r="A91" s="67"/>
      <c r="B91" s="67"/>
      <c r="C91" s="43" t="s">
        <v>214</v>
      </c>
      <c r="D91" s="27"/>
      <c r="E91" s="27"/>
      <c r="F91" s="27"/>
      <c r="G91" s="27"/>
      <c r="H91" s="27"/>
      <c r="I91" s="27"/>
    </row>
    <row r="92" spans="1:9" ht="15" customHeight="1" x14ac:dyDescent="0.25">
      <c r="A92" s="67" t="s">
        <v>78</v>
      </c>
      <c r="B92" s="67" t="s">
        <v>79</v>
      </c>
      <c r="C92" s="43" t="s">
        <v>208</v>
      </c>
      <c r="D92" s="27">
        <f>D97+D98+D96+D95+D94</f>
        <v>539.69000000000005</v>
      </c>
      <c r="E92" s="27">
        <f>E97+E98+E96+E95+E94</f>
        <v>700</v>
      </c>
      <c r="F92" s="27">
        <f>F97+F98+F96+F95+F94</f>
        <v>500</v>
      </c>
      <c r="G92" s="27">
        <f>G97+G98+G96+G95+G94</f>
        <v>500</v>
      </c>
      <c r="H92" s="27">
        <f>H97+H98+H96+H95+H94</f>
        <v>500</v>
      </c>
      <c r="I92" s="27">
        <f>SUM(D92:H92)</f>
        <v>2739.69</v>
      </c>
    </row>
    <row r="93" spans="1:9" x14ac:dyDescent="0.25">
      <c r="A93" s="67"/>
      <c r="B93" s="67"/>
      <c r="C93" s="43" t="s">
        <v>209</v>
      </c>
      <c r="D93" s="27"/>
      <c r="E93" s="27"/>
      <c r="F93" s="27"/>
      <c r="G93" s="27"/>
      <c r="H93" s="27"/>
      <c r="I93" s="27"/>
    </row>
    <row r="94" spans="1:9" x14ac:dyDescent="0.25">
      <c r="A94" s="67"/>
      <c r="B94" s="67"/>
      <c r="C94" s="43" t="s">
        <v>210</v>
      </c>
      <c r="D94" s="27"/>
      <c r="E94" s="27"/>
      <c r="F94" s="27"/>
      <c r="G94" s="27"/>
      <c r="H94" s="27"/>
      <c r="I94" s="27"/>
    </row>
    <row r="95" spans="1:9" x14ac:dyDescent="0.25">
      <c r="A95" s="67"/>
      <c r="B95" s="67"/>
      <c r="C95" s="43" t="s">
        <v>211</v>
      </c>
      <c r="D95" s="27"/>
      <c r="E95" s="27"/>
      <c r="F95" s="27"/>
      <c r="G95" s="27"/>
      <c r="H95" s="27"/>
      <c r="I95" s="27"/>
    </row>
    <row r="96" spans="1:9" ht="15" customHeight="1" x14ac:dyDescent="0.25">
      <c r="A96" s="67"/>
      <c r="B96" s="67"/>
      <c r="C96" s="43" t="s">
        <v>212</v>
      </c>
      <c r="D96" s="27"/>
      <c r="E96" s="27"/>
      <c r="F96" s="27"/>
      <c r="G96" s="27"/>
      <c r="H96" s="27"/>
      <c r="I96" s="27"/>
    </row>
    <row r="97" spans="1:9" x14ac:dyDescent="0.25">
      <c r="A97" s="67"/>
      <c r="B97" s="67"/>
      <c r="C97" s="43" t="s">
        <v>213</v>
      </c>
      <c r="D97" s="27">
        <f>'[1]Приложение 3'!H69</f>
        <v>539.69000000000005</v>
      </c>
      <c r="E97" s="27">
        <f>'[1]Приложение 3'!I69</f>
        <v>700</v>
      </c>
      <c r="F97" s="27">
        <f>'[1]Приложение 3'!J69</f>
        <v>500</v>
      </c>
      <c r="G97" s="27">
        <f>'[1]Приложение 3'!K69</f>
        <v>500</v>
      </c>
      <c r="H97" s="27">
        <f>'[1]Приложение 3'!L69</f>
        <v>500</v>
      </c>
      <c r="I97" s="27">
        <f>SUM(D97:H97)</f>
        <v>2739.69</v>
      </c>
    </row>
    <row r="98" spans="1:9" x14ac:dyDescent="0.25">
      <c r="A98" s="67"/>
      <c r="B98" s="67"/>
      <c r="C98" s="43" t="s">
        <v>214</v>
      </c>
      <c r="D98" s="27"/>
      <c r="E98" s="27"/>
      <c r="F98" s="27"/>
      <c r="G98" s="27"/>
      <c r="H98" s="27"/>
      <c r="I98" s="27"/>
    </row>
    <row r="99" spans="1:9" ht="15" customHeight="1" x14ac:dyDescent="0.25">
      <c r="A99" s="67" t="s">
        <v>81</v>
      </c>
      <c r="B99" s="67" t="s">
        <v>82</v>
      </c>
      <c r="C99" s="43" t="s">
        <v>208</v>
      </c>
      <c r="D99" s="27">
        <f>D104+D105+D103+D102+D101</f>
        <v>21</v>
      </c>
      <c r="E99" s="27">
        <f>E104+E105+E103+E102+E101</f>
        <v>21</v>
      </c>
      <c r="F99" s="27">
        <f>F104+F105+F103+F102+F101</f>
        <v>21</v>
      </c>
      <c r="G99" s="27">
        <f>G104+G105+G103+G102+G101</f>
        <v>21</v>
      </c>
      <c r="H99" s="27">
        <f>H104+H105+H103+H102+H101</f>
        <v>21</v>
      </c>
      <c r="I99" s="27">
        <f>SUM(D99:H99)</f>
        <v>105</v>
      </c>
    </row>
    <row r="100" spans="1:9" x14ac:dyDescent="0.25">
      <c r="A100" s="67"/>
      <c r="B100" s="67"/>
      <c r="C100" s="43" t="s">
        <v>209</v>
      </c>
      <c r="D100" s="27"/>
      <c r="E100" s="27"/>
      <c r="F100" s="27"/>
      <c r="G100" s="27"/>
      <c r="H100" s="27"/>
      <c r="I100" s="27"/>
    </row>
    <row r="101" spans="1:9" x14ac:dyDescent="0.25">
      <c r="A101" s="67"/>
      <c r="B101" s="67"/>
      <c r="C101" s="43" t="s">
        <v>210</v>
      </c>
      <c r="D101" s="27"/>
      <c r="E101" s="27"/>
      <c r="F101" s="27"/>
      <c r="G101" s="27"/>
      <c r="H101" s="27"/>
      <c r="I101" s="27"/>
    </row>
    <row r="102" spans="1:9" x14ac:dyDescent="0.25">
      <c r="A102" s="67"/>
      <c r="B102" s="67"/>
      <c r="C102" s="43" t="s">
        <v>211</v>
      </c>
      <c r="D102" s="27"/>
      <c r="E102" s="27"/>
      <c r="F102" s="27"/>
      <c r="G102" s="27"/>
      <c r="H102" s="27"/>
      <c r="I102" s="27"/>
    </row>
    <row r="103" spans="1:9" ht="15.75" customHeight="1" x14ac:dyDescent="0.25">
      <c r="A103" s="67"/>
      <c r="B103" s="67"/>
      <c r="C103" s="43" t="s">
        <v>212</v>
      </c>
      <c r="D103" s="27"/>
      <c r="E103" s="27"/>
      <c r="F103" s="27"/>
      <c r="G103" s="27"/>
      <c r="H103" s="27"/>
      <c r="I103" s="27"/>
    </row>
    <row r="104" spans="1:9" x14ac:dyDescent="0.25">
      <c r="A104" s="67"/>
      <c r="B104" s="67"/>
      <c r="C104" s="43" t="s">
        <v>213</v>
      </c>
      <c r="D104" s="27">
        <f>'[1]Приложение 3'!H72</f>
        <v>21</v>
      </c>
      <c r="E104" s="27">
        <f>'[1]Приложение 3'!I72</f>
        <v>21</v>
      </c>
      <c r="F104" s="27">
        <f>'[1]Приложение 3'!J72</f>
        <v>21</v>
      </c>
      <c r="G104" s="27">
        <f>'[1]Приложение 3'!K72</f>
        <v>21</v>
      </c>
      <c r="H104" s="27">
        <f>'[1]Приложение 3'!L72</f>
        <v>21</v>
      </c>
      <c r="I104" s="27">
        <f>SUM(D104:H104)</f>
        <v>105</v>
      </c>
    </row>
    <row r="105" spans="1:9" x14ac:dyDescent="0.25">
      <c r="A105" s="67"/>
      <c r="B105" s="67"/>
      <c r="C105" s="43" t="s">
        <v>214</v>
      </c>
      <c r="D105" s="27"/>
      <c r="E105" s="27"/>
      <c r="F105" s="27"/>
      <c r="G105" s="27"/>
      <c r="H105" s="27"/>
      <c r="I105" s="27"/>
    </row>
    <row r="106" spans="1:9" ht="15" customHeight="1" x14ac:dyDescent="0.25">
      <c r="A106" s="67" t="s">
        <v>84</v>
      </c>
      <c r="B106" s="67" t="s">
        <v>85</v>
      </c>
      <c r="C106" s="43" t="s">
        <v>208</v>
      </c>
      <c r="D106" s="27">
        <f>D111+D112+D110+D109+D108</f>
        <v>2747.47</v>
      </c>
      <c r="E106" s="27">
        <f>E111+E112+E110+E109+E108</f>
        <v>3232</v>
      </c>
      <c r="F106" s="27">
        <f>F111+F112+F110+F109+F108</f>
        <v>2717.41</v>
      </c>
      <c r="G106" s="27">
        <f>G111+G112+G110+G109+G108</f>
        <v>2717.41</v>
      </c>
      <c r="H106" s="27">
        <f>H111+H112+H110+H109+H108</f>
        <v>2717.41</v>
      </c>
      <c r="I106" s="27">
        <f>SUM(D106:H106)</f>
        <v>14131.699999999999</v>
      </c>
    </row>
    <row r="107" spans="1:9" x14ac:dyDescent="0.25">
      <c r="A107" s="67"/>
      <c r="B107" s="67"/>
      <c r="C107" s="43" t="s">
        <v>209</v>
      </c>
      <c r="D107" s="27"/>
      <c r="E107" s="27"/>
      <c r="F107" s="27"/>
      <c r="G107" s="27"/>
      <c r="H107" s="27"/>
      <c r="I107" s="27"/>
    </row>
    <row r="108" spans="1:9" x14ac:dyDescent="0.25">
      <c r="A108" s="67"/>
      <c r="B108" s="67"/>
      <c r="C108" s="43" t="s">
        <v>210</v>
      </c>
      <c r="D108" s="27"/>
      <c r="E108" s="27"/>
      <c r="F108" s="27"/>
      <c r="G108" s="27"/>
      <c r="H108" s="27"/>
      <c r="I108" s="27"/>
    </row>
    <row r="109" spans="1:9" x14ac:dyDescent="0.25">
      <c r="A109" s="67"/>
      <c r="B109" s="67"/>
      <c r="C109" s="43" t="s">
        <v>211</v>
      </c>
      <c r="D109" s="27">
        <f>'[1]Приложение 3'!H77</f>
        <v>0</v>
      </c>
      <c r="E109" s="27">
        <f>'[1]Приложение 3'!I77</f>
        <v>2467.41</v>
      </c>
      <c r="F109" s="27">
        <f>'[1]Приложение 3'!J77</f>
        <v>0</v>
      </c>
      <c r="G109" s="27">
        <f>'[1]Приложение 3'!K77</f>
        <v>0</v>
      </c>
      <c r="H109" s="27">
        <f>'[1]Приложение 3'!L77</f>
        <v>0</v>
      </c>
      <c r="I109" s="27">
        <f>SUM(D109:H109)</f>
        <v>2467.41</v>
      </c>
    </row>
    <row r="110" spans="1:9" ht="15" customHeight="1" x14ac:dyDescent="0.25">
      <c r="A110" s="67"/>
      <c r="B110" s="67"/>
      <c r="C110" s="43" t="s">
        <v>212</v>
      </c>
      <c r="D110" s="27"/>
      <c r="E110" s="27"/>
      <c r="F110" s="27"/>
      <c r="G110" s="27"/>
      <c r="H110" s="27"/>
      <c r="I110" s="27"/>
    </row>
    <row r="111" spans="1:9" x14ac:dyDescent="0.25">
      <c r="A111" s="67"/>
      <c r="B111" s="67"/>
      <c r="C111" s="43" t="s">
        <v>213</v>
      </c>
      <c r="D111" s="27">
        <f>'[1]Приложение 3'!H75+'[1]Приложение 3'!H76</f>
        <v>2747.47</v>
      </c>
      <c r="E111" s="27">
        <f>'[1]Приложение 3'!I75+'[1]Приложение 3'!I76</f>
        <v>764.59</v>
      </c>
      <c r="F111" s="27">
        <f>'[1]Приложение 3'!J75+'[1]Приложение 3'!J76</f>
        <v>2717.41</v>
      </c>
      <c r="G111" s="27">
        <f>'[1]Приложение 3'!K75+'[1]Приложение 3'!K76</f>
        <v>2717.41</v>
      </c>
      <c r="H111" s="27">
        <f>'[1]Приложение 3'!L75+'[1]Приложение 3'!L76</f>
        <v>2717.41</v>
      </c>
      <c r="I111" s="27">
        <f>SUM(D111:H111)</f>
        <v>11664.289999999999</v>
      </c>
    </row>
    <row r="112" spans="1:9" x14ac:dyDescent="0.25">
      <c r="A112" s="67"/>
      <c r="B112" s="67"/>
      <c r="C112" s="43" t="s">
        <v>214</v>
      </c>
      <c r="D112" s="27"/>
      <c r="E112" s="27"/>
      <c r="F112" s="27"/>
      <c r="G112" s="27"/>
      <c r="H112" s="27"/>
      <c r="I112" s="27"/>
    </row>
    <row r="113" spans="1:10" ht="15" customHeight="1" x14ac:dyDescent="0.25">
      <c r="A113" s="67" t="s">
        <v>218</v>
      </c>
      <c r="B113" s="67" t="s">
        <v>90</v>
      </c>
      <c r="C113" s="43" t="s">
        <v>208</v>
      </c>
      <c r="D113" s="27">
        <f>D118+D119+D117+D116+D115</f>
        <v>845.19</v>
      </c>
      <c r="E113" s="27">
        <f>E118+E119+E117+E116+E115</f>
        <v>500</v>
      </c>
      <c r="F113" s="27">
        <f>F118+F119+F117+F116+F115</f>
        <v>821.51</v>
      </c>
      <c r="G113" s="27">
        <f>G118+G119+G117+G116+G115</f>
        <v>821.51</v>
      </c>
      <c r="H113" s="27">
        <f>H118+H119+H117+H116+H115</f>
        <v>821.51</v>
      </c>
      <c r="I113" s="27">
        <f>SUM(D113:H113)</f>
        <v>3809.7200000000003</v>
      </c>
      <c r="J113" s="11"/>
    </row>
    <row r="114" spans="1:10" x14ac:dyDescent="0.25">
      <c r="A114" s="67"/>
      <c r="B114" s="67"/>
      <c r="C114" s="43" t="s">
        <v>209</v>
      </c>
      <c r="D114" s="27"/>
      <c r="E114" s="27"/>
      <c r="F114" s="27"/>
      <c r="G114" s="27"/>
      <c r="H114" s="27"/>
      <c r="I114" s="27"/>
    </row>
    <row r="115" spans="1:10" x14ac:dyDescent="0.25">
      <c r="A115" s="67"/>
      <c r="B115" s="67"/>
      <c r="C115" s="43" t="s">
        <v>210</v>
      </c>
      <c r="D115" s="27"/>
      <c r="E115" s="27"/>
      <c r="F115" s="27"/>
      <c r="G115" s="27"/>
      <c r="H115" s="27"/>
      <c r="I115" s="27"/>
      <c r="J115" s="45"/>
    </row>
    <row r="116" spans="1:10" x14ac:dyDescent="0.25">
      <c r="A116" s="67"/>
      <c r="B116" s="67"/>
      <c r="C116" s="43" t="s">
        <v>211</v>
      </c>
      <c r="D116" s="27"/>
      <c r="E116" s="27"/>
      <c r="F116" s="27"/>
      <c r="G116" s="27"/>
      <c r="H116" s="27"/>
      <c r="I116" s="27"/>
    </row>
    <row r="117" spans="1:10" ht="17.25" customHeight="1" x14ac:dyDescent="0.25">
      <c r="A117" s="67"/>
      <c r="B117" s="67"/>
      <c r="C117" s="43" t="s">
        <v>212</v>
      </c>
      <c r="D117" s="27"/>
      <c r="E117" s="27"/>
      <c r="F117" s="27"/>
      <c r="G117" s="27"/>
      <c r="H117" s="27"/>
      <c r="I117" s="27"/>
    </row>
    <row r="118" spans="1:10" x14ac:dyDescent="0.25">
      <c r="A118" s="67"/>
      <c r="B118" s="67"/>
      <c r="C118" s="43" t="s">
        <v>213</v>
      </c>
      <c r="D118" s="27">
        <f>'[1]Приложение 3'!H78</f>
        <v>845.19</v>
      </c>
      <c r="E118" s="27">
        <f>'[1]Приложение 3'!I78</f>
        <v>500</v>
      </c>
      <c r="F118" s="27">
        <f>'[1]Приложение 3'!J78</f>
        <v>821.51</v>
      </c>
      <c r="G118" s="27">
        <f>'[1]Приложение 3'!K78</f>
        <v>821.51</v>
      </c>
      <c r="H118" s="27">
        <f>'[1]Приложение 3'!L78</f>
        <v>821.51</v>
      </c>
      <c r="I118" s="27">
        <f>SUM(D118:H118)</f>
        <v>3809.7200000000003</v>
      </c>
    </row>
    <row r="119" spans="1:10" x14ac:dyDescent="0.25">
      <c r="A119" s="67"/>
      <c r="B119" s="67"/>
      <c r="C119" s="43" t="s">
        <v>214</v>
      </c>
      <c r="D119" s="27"/>
      <c r="E119" s="27"/>
      <c r="F119" s="27"/>
      <c r="G119" s="27"/>
      <c r="H119" s="27"/>
      <c r="I119" s="27"/>
    </row>
    <row r="120" spans="1:10" ht="15" customHeight="1" x14ac:dyDescent="0.25">
      <c r="A120" s="67" t="s">
        <v>94</v>
      </c>
      <c r="B120" s="67" t="s">
        <v>95</v>
      </c>
      <c r="C120" s="43" t="s">
        <v>208</v>
      </c>
      <c r="D120" s="27">
        <f>D125+D126+D124+D123+D122</f>
        <v>620.72</v>
      </c>
      <c r="E120" s="27">
        <f>E125+E126+E124+E123+E122</f>
        <v>1408.29</v>
      </c>
      <c r="F120" s="27">
        <f>F125+F126+F124+F123+F122</f>
        <v>1408.4</v>
      </c>
      <c r="G120" s="27">
        <f>G125+G126+G124+G123+G122</f>
        <v>1408.4</v>
      </c>
      <c r="H120" s="27">
        <f>H125+H126+H124+H123+H122</f>
        <v>1408.4</v>
      </c>
      <c r="I120" s="27">
        <f>SUM(D120:H120)</f>
        <v>6254.2099999999991</v>
      </c>
    </row>
    <row r="121" spans="1:10" x14ac:dyDescent="0.25">
      <c r="A121" s="67"/>
      <c r="B121" s="67"/>
      <c r="C121" s="43" t="s">
        <v>209</v>
      </c>
      <c r="D121" s="27"/>
      <c r="E121" s="27"/>
      <c r="F121" s="27"/>
      <c r="G121" s="27"/>
      <c r="H121" s="27"/>
      <c r="I121" s="27"/>
    </row>
    <row r="122" spans="1:10" x14ac:dyDescent="0.25">
      <c r="A122" s="67"/>
      <c r="B122" s="67"/>
      <c r="C122" s="43" t="s">
        <v>210</v>
      </c>
      <c r="D122" s="27"/>
      <c r="E122" s="27"/>
      <c r="F122" s="27"/>
      <c r="G122" s="27"/>
      <c r="H122" s="27"/>
      <c r="I122" s="27"/>
    </row>
    <row r="123" spans="1:10" x14ac:dyDescent="0.25">
      <c r="A123" s="67"/>
      <c r="B123" s="67"/>
      <c r="C123" s="43" t="s">
        <v>211</v>
      </c>
      <c r="D123" s="27"/>
      <c r="E123" s="27"/>
      <c r="F123" s="27"/>
      <c r="G123" s="27"/>
      <c r="H123" s="27"/>
      <c r="I123" s="27"/>
    </row>
    <row r="124" spans="1:10" ht="18" customHeight="1" x14ac:dyDescent="0.25">
      <c r="A124" s="67"/>
      <c r="B124" s="67"/>
      <c r="C124" s="43" t="s">
        <v>212</v>
      </c>
      <c r="D124" s="27"/>
      <c r="E124" s="27"/>
      <c r="F124" s="27"/>
      <c r="G124" s="27"/>
      <c r="H124" s="27"/>
      <c r="I124" s="27"/>
    </row>
    <row r="125" spans="1:10" x14ac:dyDescent="0.25">
      <c r="A125" s="67"/>
      <c r="B125" s="67"/>
      <c r="C125" s="43" t="s">
        <v>213</v>
      </c>
      <c r="D125" s="27">
        <f>'[1]Приложение 3'!H84</f>
        <v>620.72</v>
      </c>
      <c r="E125" s="27">
        <f>'[1]Приложение 3'!I84</f>
        <v>1408.29</v>
      </c>
      <c r="F125" s="27">
        <f>'[1]Приложение 3'!J84</f>
        <v>1408.4</v>
      </c>
      <c r="G125" s="27">
        <f>'[1]Приложение 3'!K84</f>
        <v>1408.4</v>
      </c>
      <c r="H125" s="27">
        <f>'[1]Приложение 3'!L84</f>
        <v>1408.4</v>
      </c>
      <c r="I125" s="27">
        <f>SUM(D125:H125)</f>
        <v>6254.2099999999991</v>
      </c>
    </row>
    <row r="126" spans="1:10" x14ac:dyDescent="0.25">
      <c r="A126" s="67"/>
      <c r="B126" s="67"/>
      <c r="C126" s="43" t="s">
        <v>214</v>
      </c>
      <c r="D126" s="27"/>
      <c r="E126" s="27"/>
      <c r="F126" s="27"/>
      <c r="G126" s="27"/>
      <c r="H126" s="27"/>
      <c r="I126" s="27"/>
    </row>
    <row r="127" spans="1:10" ht="15" customHeight="1" x14ac:dyDescent="0.25">
      <c r="A127" s="67" t="s">
        <v>98</v>
      </c>
      <c r="B127" s="67" t="s">
        <v>99</v>
      </c>
      <c r="C127" s="43" t="s">
        <v>208</v>
      </c>
      <c r="D127" s="27">
        <f>D132+D133+D131+D130+D129</f>
        <v>359.32</v>
      </c>
      <c r="E127" s="27">
        <f>E132+E133+E131+E130+E129</f>
        <v>0</v>
      </c>
      <c r="F127" s="27">
        <f>F132+F133+F131+F130+F129</f>
        <v>0</v>
      </c>
      <c r="G127" s="27">
        <f>G132+G133+G131+G130+G129</f>
        <v>0</v>
      </c>
      <c r="H127" s="27">
        <f>H132+H133+H131+H130+H129</f>
        <v>0</v>
      </c>
      <c r="I127" s="27">
        <f>SUM(D127:H127)</f>
        <v>359.32</v>
      </c>
    </row>
    <row r="128" spans="1:10" x14ac:dyDescent="0.25">
      <c r="A128" s="67"/>
      <c r="B128" s="67"/>
      <c r="C128" s="43" t="s">
        <v>209</v>
      </c>
      <c r="D128" s="27"/>
      <c r="E128" s="27"/>
      <c r="F128" s="27"/>
      <c r="G128" s="27"/>
      <c r="H128" s="27"/>
      <c r="I128" s="27"/>
    </row>
    <row r="129" spans="1:9" x14ac:dyDescent="0.25">
      <c r="A129" s="67"/>
      <c r="B129" s="67"/>
      <c r="C129" s="43" t="s">
        <v>210</v>
      </c>
      <c r="D129" s="27"/>
      <c r="E129" s="27"/>
      <c r="F129" s="27"/>
      <c r="G129" s="27"/>
      <c r="H129" s="27"/>
      <c r="I129" s="27"/>
    </row>
    <row r="130" spans="1:9" x14ac:dyDescent="0.25">
      <c r="A130" s="67"/>
      <c r="B130" s="67"/>
      <c r="C130" s="43" t="s">
        <v>211</v>
      </c>
      <c r="D130" s="27"/>
      <c r="E130" s="27"/>
      <c r="F130" s="27"/>
      <c r="G130" s="27"/>
      <c r="H130" s="27"/>
      <c r="I130" s="27"/>
    </row>
    <row r="131" spans="1:9" ht="15" customHeight="1" x14ac:dyDescent="0.25">
      <c r="A131" s="67"/>
      <c r="B131" s="67"/>
      <c r="C131" s="43" t="s">
        <v>212</v>
      </c>
      <c r="D131" s="27"/>
      <c r="E131" s="27"/>
      <c r="F131" s="27"/>
      <c r="G131" s="27"/>
      <c r="H131" s="27"/>
      <c r="I131" s="27"/>
    </row>
    <row r="132" spans="1:9" x14ac:dyDescent="0.25">
      <c r="A132" s="67"/>
      <c r="B132" s="67"/>
      <c r="C132" s="43" t="s">
        <v>213</v>
      </c>
      <c r="D132" s="27">
        <f>'[1]Приложение 3'!H89</f>
        <v>359.32</v>
      </c>
      <c r="E132" s="27">
        <f>'[1]Приложение 3'!I89</f>
        <v>0</v>
      </c>
      <c r="F132" s="27">
        <f>'[1]Приложение 3'!J91</f>
        <v>0</v>
      </c>
      <c r="G132" s="27">
        <f>'[1]Приложение 3'!K91</f>
        <v>0</v>
      </c>
      <c r="H132" s="27">
        <f>'[1]Приложение 3'!L91</f>
        <v>0</v>
      </c>
      <c r="I132" s="27">
        <f>SUM(D132:H132)</f>
        <v>359.32</v>
      </c>
    </row>
    <row r="133" spans="1:9" x14ac:dyDescent="0.25">
      <c r="A133" s="67"/>
      <c r="B133" s="67"/>
      <c r="C133" s="43" t="s">
        <v>214</v>
      </c>
      <c r="D133" s="27"/>
      <c r="E133" s="27"/>
      <c r="F133" s="27"/>
      <c r="G133" s="27"/>
      <c r="H133" s="27"/>
      <c r="I133" s="27"/>
    </row>
    <row r="134" spans="1:9" ht="15" customHeight="1" x14ac:dyDescent="0.25">
      <c r="A134" s="67" t="s">
        <v>101</v>
      </c>
      <c r="B134" s="67" t="s">
        <v>102</v>
      </c>
      <c r="C134" s="43" t="s">
        <v>208</v>
      </c>
      <c r="D134" s="27">
        <f>D139+D140+D138+D137+D136</f>
        <v>117.7</v>
      </c>
      <c r="E134" s="27">
        <f>E139+E140+E138+E137+E136</f>
        <v>0</v>
      </c>
      <c r="F134" s="27">
        <f>F139+F140+F138+F137+F136</f>
        <v>0</v>
      </c>
      <c r="G134" s="27">
        <f>G139+G140+G138+G137+G136</f>
        <v>0</v>
      </c>
      <c r="H134" s="27">
        <f>H139+H140+H138+H137+H136</f>
        <v>0</v>
      </c>
      <c r="I134" s="27">
        <f>SUM(D134:H134)</f>
        <v>117.7</v>
      </c>
    </row>
    <row r="135" spans="1:9" x14ac:dyDescent="0.25">
      <c r="A135" s="67"/>
      <c r="B135" s="67"/>
      <c r="C135" s="43" t="s">
        <v>209</v>
      </c>
      <c r="D135" s="27"/>
      <c r="E135" s="27"/>
      <c r="F135" s="27"/>
      <c r="G135" s="27"/>
      <c r="H135" s="27"/>
      <c r="I135" s="27"/>
    </row>
    <row r="136" spans="1:9" x14ac:dyDescent="0.25">
      <c r="A136" s="67"/>
      <c r="B136" s="67"/>
      <c r="C136" s="43" t="s">
        <v>210</v>
      </c>
      <c r="D136" s="27"/>
      <c r="E136" s="27"/>
      <c r="F136" s="27"/>
      <c r="G136" s="27"/>
      <c r="H136" s="27"/>
      <c r="I136" s="27"/>
    </row>
    <row r="137" spans="1:9" x14ac:dyDescent="0.25">
      <c r="A137" s="67"/>
      <c r="B137" s="67"/>
      <c r="C137" s="43" t="s">
        <v>211</v>
      </c>
      <c r="D137" s="27"/>
      <c r="E137" s="27"/>
      <c r="F137" s="27"/>
      <c r="G137" s="27"/>
      <c r="H137" s="27"/>
      <c r="I137" s="27"/>
    </row>
    <row r="138" spans="1:9" ht="16.5" customHeight="1" x14ac:dyDescent="0.25">
      <c r="A138" s="67"/>
      <c r="B138" s="67"/>
      <c r="C138" s="43" t="s">
        <v>212</v>
      </c>
      <c r="D138" s="27"/>
      <c r="E138" s="27"/>
      <c r="F138" s="27"/>
      <c r="G138" s="27"/>
      <c r="H138" s="27"/>
      <c r="I138" s="27"/>
    </row>
    <row r="139" spans="1:9" x14ac:dyDescent="0.25">
      <c r="A139" s="67"/>
      <c r="B139" s="67"/>
      <c r="C139" s="43" t="s">
        <v>213</v>
      </c>
      <c r="D139" s="27">
        <f>'[1]Приложение 3'!H95</f>
        <v>117.7</v>
      </c>
      <c r="E139" s="27">
        <f>'[1]Приложение 3'!I95</f>
        <v>0</v>
      </c>
      <c r="F139" s="27">
        <f>'[1]Приложение 3'!J95</f>
        <v>0</v>
      </c>
      <c r="G139" s="27">
        <f>'[1]Приложение 3'!K95</f>
        <v>0</v>
      </c>
      <c r="H139" s="27">
        <f>'[1]Приложение 3'!L95</f>
        <v>0</v>
      </c>
      <c r="I139" s="27">
        <f>SUM(D139:H139)</f>
        <v>117.7</v>
      </c>
    </row>
    <row r="140" spans="1:9" x14ac:dyDescent="0.25">
      <c r="A140" s="67"/>
      <c r="B140" s="67"/>
      <c r="C140" s="43" t="s">
        <v>214</v>
      </c>
      <c r="D140" s="27"/>
      <c r="E140" s="27"/>
      <c r="F140" s="27"/>
      <c r="G140" s="27"/>
      <c r="H140" s="27"/>
      <c r="I140" s="27"/>
    </row>
    <row r="141" spans="1:9" ht="13.5" customHeight="1" x14ac:dyDescent="0.25">
      <c r="A141" s="67" t="s">
        <v>104</v>
      </c>
      <c r="B141" s="60" t="s">
        <v>105</v>
      </c>
      <c r="C141" s="43" t="s">
        <v>208</v>
      </c>
      <c r="D141" s="27">
        <f>D144</f>
        <v>1000</v>
      </c>
      <c r="E141" s="27">
        <f>E144</f>
        <v>1075</v>
      </c>
      <c r="F141" s="27">
        <f>F144</f>
        <v>0</v>
      </c>
      <c r="G141" s="27">
        <f>G144</f>
        <v>0</v>
      </c>
      <c r="H141" s="27">
        <f>H144</f>
        <v>0</v>
      </c>
      <c r="I141" s="27">
        <f>SUM(D141:H141)</f>
        <v>2075</v>
      </c>
    </row>
    <row r="142" spans="1:9" ht="14.25" customHeight="1" x14ac:dyDescent="0.25">
      <c r="A142" s="67"/>
      <c r="B142" s="61"/>
      <c r="C142" s="43" t="s">
        <v>209</v>
      </c>
      <c r="D142" s="27"/>
      <c r="E142" s="27"/>
      <c r="F142" s="27"/>
      <c r="G142" s="27"/>
      <c r="H142" s="27"/>
      <c r="I142" s="27"/>
    </row>
    <row r="143" spans="1:9" x14ac:dyDescent="0.25">
      <c r="A143" s="67"/>
      <c r="B143" s="61"/>
      <c r="C143" s="43" t="s">
        <v>210</v>
      </c>
      <c r="D143" s="27"/>
      <c r="E143" s="27"/>
      <c r="F143" s="27"/>
      <c r="G143" s="27"/>
      <c r="H143" s="27"/>
      <c r="I143" s="27"/>
    </row>
    <row r="144" spans="1:9" x14ac:dyDescent="0.25">
      <c r="A144" s="67"/>
      <c r="B144" s="61"/>
      <c r="C144" s="43" t="s">
        <v>211</v>
      </c>
      <c r="D144" s="27">
        <f>'[1]Приложение 3'!H98</f>
        <v>1000</v>
      </c>
      <c r="E144" s="27">
        <f>'[1]Приложение 3'!I98</f>
        <v>1075</v>
      </c>
      <c r="F144" s="27">
        <f>'[1]Приложение 3'!J98</f>
        <v>0</v>
      </c>
      <c r="G144" s="27">
        <f>'[1]Приложение 3'!K98</f>
        <v>0</v>
      </c>
      <c r="H144" s="27">
        <f>'[1]Приложение 3'!L98</f>
        <v>0</v>
      </c>
      <c r="I144" s="27">
        <f>SUM(D144:H144)</f>
        <v>2075</v>
      </c>
    </row>
    <row r="145" spans="1:9" x14ac:dyDescent="0.25">
      <c r="A145" s="67"/>
      <c r="B145" s="61"/>
      <c r="C145" s="43" t="s">
        <v>212</v>
      </c>
      <c r="D145" s="27"/>
      <c r="E145" s="27"/>
      <c r="F145" s="27"/>
      <c r="G145" s="27"/>
      <c r="H145" s="27"/>
      <c r="I145" s="27"/>
    </row>
    <row r="146" spans="1:9" x14ac:dyDescent="0.25">
      <c r="A146" s="67"/>
      <c r="B146" s="61"/>
      <c r="C146" s="43" t="s">
        <v>213</v>
      </c>
      <c r="D146" s="27"/>
      <c r="E146" s="27"/>
      <c r="F146" s="27"/>
      <c r="G146" s="27"/>
      <c r="H146" s="27"/>
      <c r="I146" s="27"/>
    </row>
    <row r="147" spans="1:9" x14ac:dyDescent="0.25">
      <c r="A147" s="67"/>
      <c r="B147" s="62"/>
      <c r="C147" s="43" t="s">
        <v>214</v>
      </c>
      <c r="D147" s="27"/>
      <c r="E147" s="27"/>
      <c r="F147" s="27"/>
      <c r="G147" s="27"/>
      <c r="H147" s="27"/>
      <c r="I147" s="27"/>
    </row>
    <row r="148" spans="1:9" ht="14.25" customHeight="1" x14ac:dyDescent="0.25">
      <c r="A148" s="67" t="s">
        <v>107</v>
      </c>
      <c r="B148" s="60" t="s">
        <v>108</v>
      </c>
      <c r="C148" s="43" t="s">
        <v>208</v>
      </c>
      <c r="D148" s="27">
        <f>SUM(D150:D154)</f>
        <v>0</v>
      </c>
      <c r="E148" s="27">
        <f>SUM(E150:E154)</f>
        <v>570</v>
      </c>
      <c r="F148" s="27">
        <f>SUM(F150:F154)</f>
        <v>1050</v>
      </c>
      <c r="G148" s="27">
        <f>SUM(G150:G154)</f>
        <v>1050</v>
      </c>
      <c r="H148" s="27">
        <f>SUM(H150:H154)</f>
        <v>1050</v>
      </c>
      <c r="I148" s="27">
        <f>SUM(D148:H148)</f>
        <v>3720</v>
      </c>
    </row>
    <row r="149" spans="1:9" x14ac:dyDescent="0.25">
      <c r="A149" s="67"/>
      <c r="B149" s="61"/>
      <c r="C149" s="43" t="s">
        <v>209</v>
      </c>
      <c r="D149" s="27"/>
      <c r="E149" s="27"/>
      <c r="F149" s="27"/>
      <c r="G149" s="27"/>
      <c r="H149" s="27"/>
      <c r="I149" s="27"/>
    </row>
    <row r="150" spans="1:9" ht="14.25" customHeight="1" x14ac:dyDescent="0.25">
      <c r="A150" s="67"/>
      <c r="B150" s="61"/>
      <c r="C150" s="43" t="s">
        <v>210</v>
      </c>
      <c r="D150" s="27"/>
      <c r="E150" s="27"/>
      <c r="F150" s="27"/>
      <c r="G150" s="27"/>
      <c r="H150" s="27"/>
      <c r="I150" s="27"/>
    </row>
    <row r="151" spans="1:9" x14ac:dyDescent="0.25">
      <c r="A151" s="67"/>
      <c r="B151" s="61"/>
      <c r="C151" s="43" t="s">
        <v>211</v>
      </c>
      <c r="D151" s="27"/>
      <c r="E151" s="27"/>
      <c r="F151" s="27"/>
      <c r="G151" s="27"/>
      <c r="H151" s="27"/>
      <c r="I151" s="27"/>
    </row>
    <row r="152" spans="1:9" x14ac:dyDescent="0.25">
      <c r="A152" s="67"/>
      <c r="B152" s="61"/>
      <c r="C152" s="43" t="s">
        <v>212</v>
      </c>
      <c r="D152" s="27"/>
      <c r="E152" s="27"/>
      <c r="F152" s="27"/>
      <c r="G152" s="27"/>
      <c r="H152" s="27"/>
      <c r="I152" s="27"/>
    </row>
    <row r="153" spans="1:9" x14ac:dyDescent="0.25">
      <c r="A153" s="67"/>
      <c r="B153" s="61"/>
      <c r="C153" s="43" t="s">
        <v>213</v>
      </c>
      <c r="D153" s="27">
        <f>'[1]Приложение 3'!H101</f>
        <v>0</v>
      </c>
      <c r="E153" s="27">
        <f>'[1]Приложение 3'!I101</f>
        <v>570</v>
      </c>
      <c r="F153" s="27">
        <f>'[1]Приложение 3'!J101</f>
        <v>1050</v>
      </c>
      <c r="G153" s="27">
        <f>'[1]Приложение 3'!K101</f>
        <v>1050</v>
      </c>
      <c r="H153" s="27">
        <f>'[1]Приложение 3'!L101</f>
        <v>1050</v>
      </c>
      <c r="I153" s="27">
        <f>SUM(D153:H153)</f>
        <v>3720</v>
      </c>
    </row>
    <row r="154" spans="1:9" x14ac:dyDescent="0.25">
      <c r="A154" s="67"/>
      <c r="B154" s="62"/>
      <c r="C154" s="43" t="s">
        <v>214</v>
      </c>
      <c r="D154" s="27"/>
      <c r="E154" s="27"/>
      <c r="F154" s="27"/>
      <c r="G154" s="27"/>
      <c r="H154" s="27"/>
      <c r="I154" s="27"/>
    </row>
    <row r="155" spans="1:9" ht="14.25" customHeight="1" x14ac:dyDescent="0.25">
      <c r="A155" s="67" t="s">
        <v>110</v>
      </c>
      <c r="B155" s="60" t="s">
        <v>111</v>
      </c>
      <c r="C155" s="43" t="s">
        <v>208</v>
      </c>
      <c r="D155" s="27">
        <f>SUM(D157:D161)</f>
        <v>0</v>
      </c>
      <c r="E155" s="27">
        <f>SUM(E157:E161)</f>
        <v>0</v>
      </c>
      <c r="F155" s="27">
        <f>SUM(F157:F161)</f>
        <v>0</v>
      </c>
      <c r="G155" s="27">
        <f>SUM(G157:G161)</f>
        <v>0</v>
      </c>
      <c r="H155" s="27">
        <f>SUM(H157:H161)</f>
        <v>0</v>
      </c>
      <c r="I155" s="27">
        <f>SUM(D155:H155)</f>
        <v>0</v>
      </c>
    </row>
    <row r="156" spans="1:9" x14ac:dyDescent="0.25">
      <c r="A156" s="67"/>
      <c r="B156" s="61"/>
      <c r="C156" s="43" t="s">
        <v>209</v>
      </c>
      <c r="D156" s="27"/>
      <c r="E156" s="27"/>
      <c r="F156" s="27"/>
      <c r="G156" s="27"/>
      <c r="H156" s="27"/>
      <c r="I156" s="27"/>
    </row>
    <row r="157" spans="1:9" ht="14.25" customHeight="1" x14ac:dyDescent="0.25">
      <c r="A157" s="67"/>
      <c r="B157" s="61"/>
      <c r="C157" s="43" t="s">
        <v>210</v>
      </c>
      <c r="D157" s="27"/>
      <c r="E157" s="27"/>
      <c r="F157" s="27"/>
      <c r="G157" s="27"/>
      <c r="H157" s="27"/>
      <c r="I157" s="27"/>
    </row>
    <row r="158" spans="1:9" x14ac:dyDescent="0.25">
      <c r="A158" s="67"/>
      <c r="B158" s="61"/>
      <c r="C158" s="43" t="s">
        <v>211</v>
      </c>
      <c r="D158" s="27"/>
      <c r="E158" s="27"/>
      <c r="F158" s="27"/>
      <c r="G158" s="27"/>
      <c r="H158" s="27"/>
      <c r="I158" s="27"/>
    </row>
    <row r="159" spans="1:9" x14ac:dyDescent="0.25">
      <c r="A159" s="67"/>
      <c r="B159" s="61"/>
      <c r="C159" s="43" t="s">
        <v>212</v>
      </c>
      <c r="D159" s="27"/>
      <c r="E159" s="27"/>
      <c r="F159" s="27"/>
      <c r="G159" s="27"/>
      <c r="H159" s="27"/>
      <c r="I159" s="27"/>
    </row>
    <row r="160" spans="1:9" x14ac:dyDescent="0.25">
      <c r="A160" s="67"/>
      <c r="B160" s="61"/>
      <c r="C160" s="43" t="s">
        <v>213</v>
      </c>
      <c r="D160" s="27">
        <f>'[1]Приложение 3'!H104</f>
        <v>0</v>
      </c>
      <c r="E160" s="27">
        <f>'[1]Приложение 3'!I104</f>
        <v>0</v>
      </c>
      <c r="F160" s="27">
        <f>'[1]Приложение 3'!J104</f>
        <v>0</v>
      </c>
      <c r="G160" s="27">
        <f>'[1]Приложение 3'!K104</f>
        <v>0</v>
      </c>
      <c r="H160" s="27">
        <f>'[1]Приложение 3'!L104</f>
        <v>0</v>
      </c>
      <c r="I160" s="27">
        <f>SUM(D160:H160)</f>
        <v>0</v>
      </c>
    </row>
    <row r="161" spans="1:9" x14ac:dyDescent="0.25">
      <c r="A161" s="67"/>
      <c r="B161" s="62"/>
      <c r="C161" s="43" t="s">
        <v>214</v>
      </c>
      <c r="D161" s="27"/>
      <c r="E161" s="27"/>
      <c r="F161" s="27"/>
      <c r="G161" s="27"/>
      <c r="H161" s="27"/>
      <c r="I161" s="27"/>
    </row>
    <row r="162" spans="1:9" ht="14.25" customHeight="1" x14ac:dyDescent="0.25">
      <c r="A162" s="67" t="s">
        <v>113</v>
      </c>
      <c r="B162" s="60" t="s">
        <v>114</v>
      </c>
      <c r="C162" s="43" t="s">
        <v>208</v>
      </c>
      <c r="D162" s="27">
        <f>SUM(D164:D168)</f>
        <v>0</v>
      </c>
      <c r="E162" s="27">
        <f>SUM(E164:E168)</f>
        <v>99.75</v>
      </c>
      <c r="F162" s="27">
        <f>SUM(F164:F168)</f>
        <v>0</v>
      </c>
      <c r="G162" s="27">
        <f>SUM(G164:G168)</f>
        <v>0</v>
      </c>
      <c r="H162" s="27">
        <f>SUM(H164:H168)</f>
        <v>0</v>
      </c>
      <c r="I162" s="27">
        <f>SUM(D162:H162)</f>
        <v>99.75</v>
      </c>
    </row>
    <row r="163" spans="1:9" x14ac:dyDescent="0.25">
      <c r="A163" s="67"/>
      <c r="B163" s="61"/>
      <c r="C163" s="43" t="s">
        <v>209</v>
      </c>
      <c r="D163" s="27"/>
      <c r="E163" s="27"/>
      <c r="F163" s="27"/>
      <c r="G163" s="27"/>
      <c r="H163" s="27"/>
      <c r="I163" s="27"/>
    </row>
    <row r="164" spans="1:9" ht="14.25" customHeight="1" x14ac:dyDescent="0.25">
      <c r="A164" s="67"/>
      <c r="B164" s="61"/>
      <c r="C164" s="43" t="s">
        <v>210</v>
      </c>
      <c r="D164" s="27"/>
      <c r="E164" s="27"/>
      <c r="F164" s="27"/>
      <c r="G164" s="27"/>
      <c r="H164" s="27"/>
      <c r="I164" s="27"/>
    </row>
    <row r="165" spans="1:9" x14ac:dyDescent="0.25">
      <c r="A165" s="67"/>
      <c r="B165" s="61"/>
      <c r="C165" s="43" t="s">
        <v>211</v>
      </c>
      <c r="D165" s="27"/>
      <c r="E165" s="27"/>
      <c r="F165" s="27"/>
      <c r="G165" s="27"/>
      <c r="H165" s="27"/>
      <c r="I165" s="27"/>
    </row>
    <row r="166" spans="1:9" x14ac:dyDescent="0.25">
      <c r="A166" s="67"/>
      <c r="B166" s="61"/>
      <c r="C166" s="43" t="s">
        <v>212</v>
      </c>
      <c r="D166" s="27"/>
      <c r="E166" s="27"/>
      <c r="F166" s="27"/>
      <c r="G166" s="27"/>
      <c r="H166" s="27"/>
      <c r="I166" s="27"/>
    </row>
    <row r="167" spans="1:9" x14ac:dyDescent="0.25">
      <c r="A167" s="67"/>
      <c r="B167" s="61"/>
      <c r="C167" s="43" t="s">
        <v>213</v>
      </c>
      <c r="D167" s="27">
        <f>'[1]Приложение 3'!H107</f>
        <v>0</v>
      </c>
      <c r="E167" s="27">
        <f>'[1]Приложение 3'!I107</f>
        <v>99.75</v>
      </c>
      <c r="F167" s="27">
        <f>'[1]Приложение 3'!J107</f>
        <v>0</v>
      </c>
      <c r="G167" s="27">
        <f>'[1]Приложение 3'!K107</f>
        <v>0</v>
      </c>
      <c r="H167" s="27">
        <f>'[1]Приложение 3'!L107</f>
        <v>0</v>
      </c>
      <c r="I167" s="27">
        <f>SUM(D167:H167)</f>
        <v>99.75</v>
      </c>
    </row>
    <row r="168" spans="1:9" x14ac:dyDescent="0.25">
      <c r="A168" s="67"/>
      <c r="B168" s="62"/>
      <c r="C168" s="43" t="s">
        <v>214</v>
      </c>
      <c r="D168" s="27"/>
      <c r="E168" s="27"/>
      <c r="F168" s="27"/>
      <c r="G168" s="27"/>
      <c r="H168" s="27"/>
      <c r="I168" s="27"/>
    </row>
    <row r="169" spans="1:9" x14ac:dyDescent="0.25">
      <c r="A169" s="67" t="s">
        <v>116</v>
      </c>
      <c r="B169" s="60" t="s">
        <v>117</v>
      </c>
      <c r="C169" s="43" t="s">
        <v>208</v>
      </c>
      <c r="D169" s="27">
        <f>SUM(D171:D175)</f>
        <v>0</v>
      </c>
      <c r="E169" s="27">
        <f>SUM(E171:E175)</f>
        <v>1484.9</v>
      </c>
      <c r="F169" s="27">
        <f>SUM(F171:F175)</f>
        <v>0</v>
      </c>
      <c r="G169" s="27">
        <f>SUM(G171:G175)</f>
        <v>0</v>
      </c>
      <c r="H169" s="27">
        <f>SUM(H171:H175)</f>
        <v>0</v>
      </c>
      <c r="I169" s="27">
        <f>SUM(D169:H169)</f>
        <v>1484.9</v>
      </c>
    </row>
    <row r="170" spans="1:9" x14ac:dyDescent="0.25">
      <c r="A170" s="67"/>
      <c r="B170" s="61"/>
      <c r="C170" s="43" t="s">
        <v>209</v>
      </c>
      <c r="D170" s="27"/>
      <c r="E170" s="27"/>
      <c r="F170" s="27"/>
      <c r="G170" s="27"/>
      <c r="H170" s="27"/>
      <c r="I170" s="27"/>
    </row>
    <row r="171" spans="1:9" x14ac:dyDescent="0.25">
      <c r="A171" s="67"/>
      <c r="B171" s="61"/>
      <c r="C171" s="43" t="s">
        <v>210</v>
      </c>
      <c r="D171" s="27"/>
      <c r="E171" s="27"/>
      <c r="F171" s="27"/>
      <c r="G171" s="27"/>
      <c r="H171" s="27"/>
      <c r="I171" s="27"/>
    </row>
    <row r="172" spans="1:9" x14ac:dyDescent="0.25">
      <c r="A172" s="67"/>
      <c r="B172" s="61"/>
      <c r="C172" s="43" t="s">
        <v>211</v>
      </c>
      <c r="D172" s="27">
        <f>'[1]Приложение 3'!H108</f>
        <v>0</v>
      </c>
      <c r="E172" s="27">
        <f>'[1]Приложение 3'!I108</f>
        <v>1484.9</v>
      </c>
      <c r="F172" s="27">
        <f>'[1]Приложение 3'!J108</f>
        <v>0</v>
      </c>
      <c r="G172" s="27">
        <f>'[1]Приложение 3'!K108</f>
        <v>0</v>
      </c>
      <c r="H172" s="27">
        <f>'[1]Приложение 3'!L108</f>
        <v>0</v>
      </c>
      <c r="I172" s="27">
        <f>SUM(D172:H172)</f>
        <v>1484.9</v>
      </c>
    </row>
    <row r="173" spans="1:9" x14ac:dyDescent="0.25">
      <c r="A173" s="67"/>
      <c r="B173" s="61"/>
      <c r="C173" s="43" t="s">
        <v>212</v>
      </c>
      <c r="D173" s="27"/>
      <c r="E173" s="27"/>
      <c r="F173" s="27"/>
      <c r="G173" s="27"/>
      <c r="H173" s="27"/>
      <c r="I173" s="27"/>
    </row>
    <row r="174" spans="1:9" x14ac:dyDescent="0.25">
      <c r="A174" s="67"/>
      <c r="B174" s="61"/>
      <c r="C174" s="43" t="s">
        <v>213</v>
      </c>
      <c r="D174" s="27"/>
      <c r="E174" s="27"/>
      <c r="F174" s="27"/>
      <c r="G174" s="27"/>
      <c r="H174" s="27"/>
      <c r="I174" s="27"/>
    </row>
    <row r="175" spans="1:9" x14ac:dyDescent="0.25">
      <c r="A175" s="67"/>
      <c r="B175" s="62"/>
      <c r="C175" s="43" t="s">
        <v>214</v>
      </c>
      <c r="D175" s="27"/>
      <c r="E175" s="27"/>
      <c r="F175" s="27"/>
      <c r="G175" s="27"/>
      <c r="H175" s="27"/>
      <c r="I175" s="27"/>
    </row>
    <row r="176" spans="1:9" x14ac:dyDescent="0.25">
      <c r="A176" s="67" t="s">
        <v>119</v>
      </c>
      <c r="B176" s="60" t="s">
        <v>120</v>
      </c>
      <c r="C176" s="43" t="s">
        <v>208</v>
      </c>
      <c r="D176" s="27">
        <f>SUM(D178:D182)</f>
        <v>0</v>
      </c>
      <c r="E176" s="27">
        <f>SUM(E178:E182)</f>
        <v>14.9</v>
      </c>
      <c r="F176" s="27">
        <f>SUM(F178:F182)</f>
        <v>0</v>
      </c>
      <c r="G176" s="27">
        <f>SUM(G178:G182)</f>
        <v>0</v>
      </c>
      <c r="H176" s="27">
        <f>SUM(H178:H182)</f>
        <v>0</v>
      </c>
      <c r="I176" s="27">
        <f>SUM(D176:H176)</f>
        <v>14.9</v>
      </c>
    </row>
    <row r="177" spans="1:9" x14ac:dyDescent="0.25">
      <c r="A177" s="67"/>
      <c r="B177" s="61"/>
      <c r="C177" s="43" t="s">
        <v>209</v>
      </c>
      <c r="D177" s="27"/>
      <c r="E177" s="27"/>
      <c r="F177" s="27"/>
      <c r="G177" s="27"/>
      <c r="H177" s="27"/>
      <c r="I177" s="27"/>
    </row>
    <row r="178" spans="1:9" x14ac:dyDescent="0.25">
      <c r="A178" s="67"/>
      <c r="B178" s="61"/>
      <c r="C178" s="43" t="s">
        <v>210</v>
      </c>
      <c r="D178" s="27"/>
      <c r="E178" s="27"/>
      <c r="F178" s="27"/>
      <c r="G178" s="27"/>
      <c r="H178" s="27"/>
      <c r="I178" s="27"/>
    </row>
    <row r="179" spans="1:9" x14ac:dyDescent="0.25">
      <c r="A179" s="67"/>
      <c r="B179" s="61"/>
      <c r="C179" s="43" t="s">
        <v>211</v>
      </c>
      <c r="D179" s="27"/>
      <c r="E179" s="27"/>
      <c r="F179" s="27"/>
      <c r="G179" s="27"/>
      <c r="H179" s="27"/>
      <c r="I179" s="27"/>
    </row>
    <row r="180" spans="1:9" ht="48.75" customHeight="1" x14ac:dyDescent="0.25">
      <c r="A180" s="67"/>
      <c r="B180" s="61"/>
      <c r="C180" s="43" t="s">
        <v>212</v>
      </c>
      <c r="D180" s="27"/>
      <c r="E180" s="27"/>
      <c r="F180" s="27"/>
      <c r="G180" s="27"/>
      <c r="H180" s="27"/>
      <c r="I180" s="27"/>
    </row>
    <row r="181" spans="1:9" ht="22.5" customHeight="1" x14ac:dyDescent="0.25">
      <c r="A181" s="67"/>
      <c r="B181" s="61"/>
      <c r="C181" s="43" t="s">
        <v>213</v>
      </c>
      <c r="D181" s="27">
        <f>'[1]Приложение 3'!H113</f>
        <v>0</v>
      </c>
      <c r="E181" s="27">
        <f>'[1]Приложение 3'!I113</f>
        <v>14.9</v>
      </c>
      <c r="F181" s="27">
        <f>'[1]Приложение 3'!J113</f>
        <v>0</v>
      </c>
      <c r="G181" s="27">
        <f>'[1]Приложение 3'!K113</f>
        <v>0</v>
      </c>
      <c r="H181" s="27">
        <f>'[1]Приложение 3'!L113</f>
        <v>0</v>
      </c>
      <c r="I181" s="27">
        <f>SUM(D181:H181)</f>
        <v>14.9</v>
      </c>
    </row>
    <row r="182" spans="1:9" ht="18.75" customHeight="1" x14ac:dyDescent="0.25">
      <c r="A182" s="67"/>
      <c r="B182" s="62"/>
      <c r="C182" s="43" t="s">
        <v>214</v>
      </c>
      <c r="D182" s="27"/>
      <c r="E182" s="27"/>
      <c r="F182" s="27"/>
      <c r="G182" s="27"/>
      <c r="H182" s="27"/>
      <c r="I182" s="27"/>
    </row>
    <row r="183" spans="1:9" ht="18.75" customHeight="1" x14ac:dyDescent="0.25">
      <c r="A183" s="67" t="s">
        <v>122</v>
      </c>
      <c r="B183" s="60" t="s">
        <v>123</v>
      </c>
      <c r="C183" s="43" t="s">
        <v>208</v>
      </c>
      <c r="D183" s="27">
        <f>SUM(D185:D189)</f>
        <v>0</v>
      </c>
      <c r="E183" s="27">
        <f>SUM(E185:E189)</f>
        <v>260</v>
      </c>
      <c r="F183" s="27">
        <f>SUM(F185:F189)</f>
        <v>0</v>
      </c>
      <c r="G183" s="27">
        <f>SUM(G185:G189)</f>
        <v>0</v>
      </c>
      <c r="H183" s="27">
        <f>SUM(H185:H189)</f>
        <v>0</v>
      </c>
      <c r="I183" s="27">
        <f>SUM(D183:H183)</f>
        <v>260</v>
      </c>
    </row>
    <row r="184" spans="1:9" ht="18.75" customHeight="1" x14ac:dyDescent="0.25">
      <c r="A184" s="67"/>
      <c r="B184" s="61"/>
      <c r="C184" s="43" t="s">
        <v>209</v>
      </c>
      <c r="D184" s="27"/>
      <c r="E184" s="27"/>
      <c r="F184" s="27"/>
      <c r="G184" s="27"/>
      <c r="H184" s="27"/>
      <c r="I184" s="27"/>
    </row>
    <row r="185" spans="1:9" ht="18.75" customHeight="1" x14ac:dyDescent="0.25">
      <c r="A185" s="67"/>
      <c r="B185" s="61"/>
      <c r="C185" s="43" t="s">
        <v>210</v>
      </c>
      <c r="D185" s="27"/>
      <c r="E185" s="27"/>
      <c r="F185" s="27"/>
      <c r="G185" s="27"/>
      <c r="H185" s="27"/>
      <c r="I185" s="27"/>
    </row>
    <row r="186" spans="1:9" ht="18.75" customHeight="1" x14ac:dyDescent="0.25">
      <c r="A186" s="67"/>
      <c r="B186" s="61"/>
      <c r="C186" s="43" t="s">
        <v>211</v>
      </c>
      <c r="D186" s="27"/>
      <c r="E186" s="27"/>
      <c r="F186" s="27"/>
      <c r="G186" s="27"/>
      <c r="H186" s="27"/>
      <c r="I186" s="27"/>
    </row>
    <row r="187" spans="1:9" ht="18.75" customHeight="1" x14ac:dyDescent="0.25">
      <c r="A187" s="67"/>
      <c r="B187" s="61"/>
      <c r="C187" s="43" t="s">
        <v>212</v>
      </c>
      <c r="D187" s="27"/>
      <c r="E187" s="27"/>
      <c r="F187" s="27"/>
      <c r="G187" s="27"/>
      <c r="H187" s="27"/>
      <c r="I187" s="27"/>
    </row>
    <row r="188" spans="1:9" ht="18.75" customHeight="1" x14ac:dyDescent="0.25">
      <c r="A188" s="67"/>
      <c r="B188" s="61"/>
      <c r="C188" s="43" t="s">
        <v>213</v>
      </c>
      <c r="D188" s="27">
        <f>'[1]Приложение 3'!H116</f>
        <v>0</v>
      </c>
      <c r="E188" s="27">
        <f>'[1]Приложение 3'!I116</f>
        <v>260</v>
      </c>
      <c r="F188" s="27">
        <f>'[1]Приложение 3'!J116</f>
        <v>0</v>
      </c>
      <c r="G188" s="27">
        <f>'[1]Приложение 3'!K116</f>
        <v>0</v>
      </c>
      <c r="H188" s="27">
        <f>'[1]Приложение 3'!L116</f>
        <v>0</v>
      </c>
      <c r="I188" s="27">
        <f>SUM(D188:H188)</f>
        <v>260</v>
      </c>
    </row>
    <row r="189" spans="1:9" ht="18.75" customHeight="1" x14ac:dyDescent="0.25">
      <c r="A189" s="67"/>
      <c r="B189" s="62"/>
      <c r="C189" s="43" t="s">
        <v>214</v>
      </c>
      <c r="D189" s="27"/>
      <c r="E189" s="27"/>
      <c r="F189" s="27"/>
      <c r="G189" s="27"/>
      <c r="H189" s="27"/>
      <c r="I189" s="27"/>
    </row>
    <row r="190" spans="1:9" ht="18.75" customHeight="1" x14ac:dyDescent="0.25">
      <c r="A190" s="67" t="s">
        <v>125</v>
      </c>
      <c r="B190" s="60" t="s">
        <v>126</v>
      </c>
      <c r="C190" s="43" t="s">
        <v>208</v>
      </c>
      <c r="D190" s="27">
        <f>SUM(D192:D196)</f>
        <v>0</v>
      </c>
      <c r="E190" s="27">
        <f>SUM(E192:E196)</f>
        <v>200</v>
      </c>
      <c r="F190" s="27">
        <f>SUM(F192:F196)</f>
        <v>0</v>
      </c>
      <c r="G190" s="27">
        <f>SUM(G192:G196)</f>
        <v>0</v>
      </c>
      <c r="H190" s="27">
        <f>SUM(H192:H196)</f>
        <v>0</v>
      </c>
      <c r="I190" s="27">
        <f>SUM(D190:H190)</f>
        <v>200</v>
      </c>
    </row>
    <row r="191" spans="1:9" ht="18.75" customHeight="1" x14ac:dyDescent="0.25">
      <c r="A191" s="67"/>
      <c r="B191" s="61"/>
      <c r="C191" s="43" t="s">
        <v>209</v>
      </c>
      <c r="D191" s="27"/>
      <c r="E191" s="27"/>
      <c r="F191" s="27"/>
      <c r="G191" s="27"/>
      <c r="H191" s="27"/>
      <c r="I191" s="27"/>
    </row>
    <row r="192" spans="1:9" ht="18.75" customHeight="1" x14ac:dyDescent="0.25">
      <c r="A192" s="67"/>
      <c r="B192" s="61"/>
      <c r="C192" s="43" t="s">
        <v>210</v>
      </c>
      <c r="D192" s="27"/>
      <c r="E192" s="27"/>
      <c r="F192" s="27"/>
      <c r="G192" s="27"/>
      <c r="H192" s="27"/>
      <c r="I192" s="27"/>
    </row>
    <row r="193" spans="1:10" ht="18.75" customHeight="1" x14ac:dyDescent="0.25">
      <c r="A193" s="67"/>
      <c r="B193" s="61"/>
      <c r="C193" s="43" t="s">
        <v>211</v>
      </c>
      <c r="D193" s="27"/>
      <c r="E193" s="27"/>
      <c r="F193" s="27"/>
      <c r="G193" s="27"/>
      <c r="H193" s="27"/>
      <c r="I193" s="27"/>
    </row>
    <row r="194" spans="1:10" ht="18.75" customHeight="1" x14ac:dyDescent="0.25">
      <c r="A194" s="67"/>
      <c r="B194" s="61"/>
      <c r="C194" s="43" t="s">
        <v>212</v>
      </c>
      <c r="D194" s="27"/>
      <c r="E194" s="27"/>
      <c r="F194" s="27"/>
      <c r="G194" s="27"/>
      <c r="H194" s="27"/>
      <c r="I194" s="27"/>
    </row>
    <row r="195" spans="1:10" ht="18.75" customHeight="1" x14ac:dyDescent="0.25">
      <c r="A195" s="67"/>
      <c r="B195" s="61"/>
      <c r="C195" s="43" t="s">
        <v>213</v>
      </c>
      <c r="D195" s="27">
        <f>'[1]Приложение 3'!H119</f>
        <v>0</v>
      </c>
      <c r="E195" s="27">
        <f>'[1]Приложение 3'!I119</f>
        <v>200</v>
      </c>
      <c r="F195" s="27">
        <f>'[1]Приложение 3'!J119</f>
        <v>0</v>
      </c>
      <c r="G195" s="27">
        <f>'[1]Приложение 3'!K119</f>
        <v>0</v>
      </c>
      <c r="H195" s="27">
        <f>'[1]Приложение 3'!L119</f>
        <v>0</v>
      </c>
      <c r="I195" s="27">
        <f>SUM(D195:H195)</f>
        <v>200</v>
      </c>
    </row>
    <row r="196" spans="1:10" ht="18.75" customHeight="1" x14ac:dyDescent="0.25">
      <c r="A196" s="67"/>
      <c r="B196" s="62"/>
      <c r="C196" s="43" t="s">
        <v>214</v>
      </c>
      <c r="D196" s="27"/>
      <c r="E196" s="27"/>
      <c r="F196" s="27"/>
      <c r="G196" s="27"/>
      <c r="H196" s="27"/>
      <c r="I196" s="27"/>
    </row>
    <row r="197" spans="1:10" ht="18.75" customHeight="1" x14ac:dyDescent="0.25">
      <c r="A197" s="67" t="s">
        <v>128</v>
      </c>
      <c r="B197" s="60" t="s">
        <v>129</v>
      </c>
      <c r="C197" s="43" t="s">
        <v>208</v>
      </c>
      <c r="D197" s="27">
        <f>SUM(D199:D203)</f>
        <v>0</v>
      </c>
      <c r="E197" s="27">
        <f>SUM(E199:E203)</f>
        <v>46.17</v>
      </c>
      <c r="F197" s="27">
        <f>SUM(F199:F203)</f>
        <v>0</v>
      </c>
      <c r="G197" s="27">
        <f>SUM(G199:G203)</f>
        <v>0</v>
      </c>
      <c r="H197" s="27">
        <f>SUM(H199:H203)</f>
        <v>0</v>
      </c>
      <c r="I197" s="27">
        <f>SUM(D197:H197)</f>
        <v>46.17</v>
      </c>
    </row>
    <row r="198" spans="1:10" ht="18.75" customHeight="1" x14ac:dyDescent="0.25">
      <c r="A198" s="67"/>
      <c r="B198" s="61"/>
      <c r="C198" s="43" t="s">
        <v>209</v>
      </c>
      <c r="D198" s="27"/>
      <c r="E198" s="27"/>
      <c r="F198" s="27"/>
      <c r="G198" s="27"/>
      <c r="H198" s="27"/>
      <c r="I198" s="27"/>
    </row>
    <row r="199" spans="1:10" ht="18.75" customHeight="1" x14ac:dyDescent="0.25">
      <c r="A199" s="67"/>
      <c r="B199" s="61"/>
      <c r="C199" s="43" t="s">
        <v>210</v>
      </c>
      <c r="D199" s="27"/>
      <c r="E199" s="27"/>
      <c r="F199" s="27"/>
      <c r="G199" s="27"/>
      <c r="H199" s="27"/>
      <c r="I199" s="27"/>
    </row>
    <row r="200" spans="1:10" ht="18.75" customHeight="1" x14ac:dyDescent="0.25">
      <c r="A200" s="67"/>
      <c r="B200" s="61"/>
      <c r="C200" s="43" t="s">
        <v>211</v>
      </c>
      <c r="D200" s="27"/>
      <c r="E200" s="27"/>
      <c r="F200" s="27"/>
      <c r="G200" s="27"/>
      <c r="H200" s="27"/>
      <c r="I200" s="27"/>
    </row>
    <row r="201" spans="1:10" ht="32.25" customHeight="1" x14ac:dyDescent="0.25">
      <c r="A201" s="67"/>
      <c r="B201" s="61"/>
      <c r="C201" s="43" t="s">
        <v>212</v>
      </c>
      <c r="D201" s="27"/>
      <c r="E201" s="27"/>
      <c r="F201" s="27"/>
      <c r="G201" s="27"/>
      <c r="H201" s="27"/>
      <c r="I201" s="27"/>
    </row>
    <row r="202" spans="1:10" ht="18.75" customHeight="1" x14ac:dyDescent="0.25">
      <c r="A202" s="67"/>
      <c r="B202" s="61"/>
      <c r="C202" s="43" t="s">
        <v>213</v>
      </c>
      <c r="D202" s="27">
        <f>'[1]Приложение 3'!H122</f>
        <v>0</v>
      </c>
      <c r="E202" s="27">
        <f>'[1]Приложение 3'!I122</f>
        <v>46.17</v>
      </c>
      <c r="F202" s="27">
        <f>'[1]Приложение 3'!J122</f>
        <v>0</v>
      </c>
      <c r="G202" s="27">
        <f>'[1]Приложение 3'!K122</f>
        <v>0</v>
      </c>
      <c r="H202" s="27">
        <f>'[1]Приложение 3'!L122</f>
        <v>0</v>
      </c>
      <c r="I202" s="27">
        <f>SUM(D202:H202)</f>
        <v>46.17</v>
      </c>
    </row>
    <row r="203" spans="1:10" ht="18.75" customHeight="1" x14ac:dyDescent="0.25">
      <c r="A203" s="67"/>
      <c r="B203" s="62"/>
      <c r="C203" s="43" t="s">
        <v>214</v>
      </c>
      <c r="D203" s="27"/>
      <c r="E203" s="27"/>
      <c r="F203" s="27"/>
      <c r="G203" s="27"/>
      <c r="H203" s="27"/>
      <c r="I203" s="27"/>
    </row>
    <row r="204" spans="1:10" s="15" customFormat="1" ht="14.25" x14ac:dyDescent="0.25">
      <c r="A204" s="79" t="s">
        <v>131</v>
      </c>
      <c r="B204" s="79" t="s">
        <v>219</v>
      </c>
      <c r="C204" s="44" t="s">
        <v>208</v>
      </c>
      <c r="D204" s="33">
        <f>SUM(D206:D210)</f>
        <v>31901.470000000005</v>
      </c>
      <c r="E204" s="33">
        <f>SUM(E206:E210)</f>
        <v>32954.811799999996</v>
      </c>
      <c r="F204" s="33">
        <f>SUM(F206:F210)</f>
        <v>27648.209000000003</v>
      </c>
      <c r="G204" s="33">
        <f>SUM(G206:G210)</f>
        <v>27729.38</v>
      </c>
      <c r="H204" s="33">
        <f>SUM(H206:H210)</f>
        <v>27729.38</v>
      </c>
      <c r="I204" s="33">
        <f>SUM(D204:H204)</f>
        <v>147963.25080000001</v>
      </c>
      <c r="J204" s="31"/>
    </row>
    <row r="205" spans="1:10" s="15" customFormat="1" ht="14.25" x14ac:dyDescent="0.25">
      <c r="A205" s="79"/>
      <c r="B205" s="79"/>
      <c r="C205" s="44" t="s">
        <v>209</v>
      </c>
      <c r="D205" s="33"/>
      <c r="E205" s="33"/>
      <c r="F205" s="33"/>
      <c r="G205" s="33"/>
      <c r="H205" s="33"/>
      <c r="I205" s="33"/>
    </row>
    <row r="206" spans="1:10" s="15" customFormat="1" ht="28.5" x14ac:dyDescent="0.25">
      <c r="A206" s="79"/>
      <c r="B206" s="79"/>
      <c r="C206" s="44" t="s">
        <v>210</v>
      </c>
      <c r="D206" s="33"/>
      <c r="E206" s="33"/>
      <c r="F206" s="33"/>
      <c r="G206" s="33"/>
      <c r="H206" s="33"/>
      <c r="I206" s="33"/>
    </row>
    <row r="207" spans="1:10" s="15" customFormat="1" ht="14.25" x14ac:dyDescent="0.25">
      <c r="A207" s="79"/>
      <c r="B207" s="79"/>
      <c r="C207" s="44" t="s">
        <v>211</v>
      </c>
      <c r="D207" s="33">
        <f>D228+D263+D270+D284+D305</f>
        <v>18877.900000000001</v>
      </c>
      <c r="E207" s="33">
        <f>E228+E263+E270+E284+E305</f>
        <v>16055.82</v>
      </c>
      <c r="F207" s="33">
        <f>F228+F263+F270+F284+F305</f>
        <v>10793.7</v>
      </c>
      <c r="G207" s="33">
        <f>G228+G263+G270+G284+G305</f>
        <v>10793.7</v>
      </c>
      <c r="H207" s="33">
        <f>H228+H263+H270+H284+H305</f>
        <v>10793.7</v>
      </c>
      <c r="I207" s="33">
        <f>SUM(D207:H207)</f>
        <v>67314.819999999992</v>
      </c>
    </row>
    <row r="208" spans="1:10" s="15" customFormat="1" ht="28.5" x14ac:dyDescent="0.25">
      <c r="A208" s="79"/>
      <c r="B208" s="79"/>
      <c r="C208" s="44" t="s">
        <v>212</v>
      </c>
      <c r="D208" s="33"/>
      <c r="E208" s="33"/>
      <c r="F208" s="33"/>
      <c r="G208" s="33"/>
      <c r="H208" s="33"/>
      <c r="I208" s="33"/>
    </row>
    <row r="209" spans="1:9" s="15" customFormat="1" ht="14.25" x14ac:dyDescent="0.25">
      <c r="A209" s="79"/>
      <c r="B209" s="79"/>
      <c r="C209" s="44" t="s">
        <v>213</v>
      </c>
      <c r="D209" s="33">
        <f>D216+D223+D237+D244+D251+D258+D279+D293+D300+D314+D321</f>
        <v>13023.570000000003</v>
      </c>
      <c r="E209" s="33">
        <f>E216+E223+E237+E244+E251+E258+E279+E293+E300+E314+E321</f>
        <v>16898.991799999996</v>
      </c>
      <c r="F209" s="33">
        <f>F216+F223+F237+F244+F251+F258+F279+F293+F300+F314+F321+F328</f>
        <v>16854.509000000002</v>
      </c>
      <c r="G209" s="33">
        <f>G216+G223+G237+G244+G251+G258+G279+G293+G300+G314+G321</f>
        <v>16935.68</v>
      </c>
      <c r="H209" s="33">
        <f>H216+H223+H237+H244+H251+H258+H279+H293+H300+H314+H321</f>
        <v>16935.68</v>
      </c>
      <c r="I209" s="33">
        <f>SUM(D209:H209)</f>
        <v>80648.430800000002</v>
      </c>
    </row>
    <row r="210" spans="1:9" s="15" customFormat="1" x14ac:dyDescent="0.25">
      <c r="A210" s="79"/>
      <c r="B210" s="79"/>
      <c r="C210" s="44" t="s">
        <v>214</v>
      </c>
      <c r="D210" s="33"/>
      <c r="E210" s="33"/>
      <c r="F210" s="33"/>
      <c r="G210" s="33"/>
      <c r="H210" s="33"/>
      <c r="I210" s="27"/>
    </row>
    <row r="211" spans="1:9" ht="17.25" customHeight="1" x14ac:dyDescent="0.25">
      <c r="A211" s="60" t="s">
        <v>133</v>
      </c>
      <c r="B211" s="60" t="s">
        <v>134</v>
      </c>
      <c r="C211" s="43" t="s">
        <v>208</v>
      </c>
      <c r="D211" s="27">
        <f>SUM(D213:D217)</f>
        <v>246.85</v>
      </c>
      <c r="E211" s="27">
        <f>SUM(E213:E217)</f>
        <v>233.92</v>
      </c>
      <c r="F211" s="27">
        <f>SUM(F213:F217)</f>
        <v>164.39999999999998</v>
      </c>
      <c r="G211" s="27">
        <f>SUM(G213:G217)</f>
        <v>164.39999999999998</v>
      </c>
      <c r="H211" s="27">
        <f>SUM(H213:H217)</f>
        <v>164.39999999999998</v>
      </c>
      <c r="I211" s="27">
        <f>SUM(D211:H211)</f>
        <v>973.96999999999991</v>
      </c>
    </row>
    <row r="212" spans="1:9" x14ac:dyDescent="0.25">
      <c r="A212" s="61"/>
      <c r="B212" s="61"/>
      <c r="C212" s="43" t="s">
        <v>209</v>
      </c>
      <c r="D212" s="27"/>
      <c r="E212" s="27"/>
      <c r="F212" s="27"/>
      <c r="G212" s="27"/>
      <c r="H212" s="27"/>
      <c r="I212" s="27"/>
    </row>
    <row r="213" spans="1:9" x14ac:dyDescent="0.25">
      <c r="A213" s="61"/>
      <c r="B213" s="61"/>
      <c r="C213" s="43" t="s">
        <v>210</v>
      </c>
      <c r="D213" s="27"/>
      <c r="E213" s="27"/>
      <c r="F213" s="27"/>
      <c r="G213" s="27"/>
      <c r="H213" s="27"/>
      <c r="I213" s="27"/>
    </row>
    <row r="214" spans="1:9" x14ac:dyDescent="0.25">
      <c r="A214" s="61"/>
      <c r="B214" s="61"/>
      <c r="C214" s="43" t="s">
        <v>211</v>
      </c>
      <c r="D214" s="27"/>
      <c r="E214" s="27"/>
      <c r="F214" s="27"/>
      <c r="G214" s="27"/>
      <c r="H214" s="27"/>
      <c r="I214" s="27"/>
    </row>
    <row r="215" spans="1:9" ht="16.5" customHeight="1" x14ac:dyDescent="0.25">
      <c r="A215" s="61"/>
      <c r="B215" s="61"/>
      <c r="C215" s="43" t="s">
        <v>212</v>
      </c>
      <c r="D215" s="27"/>
      <c r="E215" s="27"/>
      <c r="F215" s="27"/>
      <c r="G215" s="27"/>
      <c r="H215" s="27"/>
      <c r="I215" s="27"/>
    </row>
    <row r="216" spans="1:9" x14ac:dyDescent="0.25">
      <c r="A216" s="61"/>
      <c r="B216" s="61"/>
      <c r="C216" s="43" t="s">
        <v>213</v>
      </c>
      <c r="D216" s="27">
        <f>'[1]Приложение 3'!H129</f>
        <v>246.85</v>
      </c>
      <c r="E216" s="27">
        <f>'[1]Приложение 3'!I129</f>
        <v>233.92</v>
      </c>
      <c r="F216" s="27">
        <f>'[1]Приложение 3'!J129</f>
        <v>164.39999999999998</v>
      </c>
      <c r="G216" s="27">
        <f>'[1]Приложение 3'!K129</f>
        <v>164.39999999999998</v>
      </c>
      <c r="H216" s="27">
        <f>'[1]Приложение 3'!L129</f>
        <v>164.39999999999998</v>
      </c>
      <c r="I216" s="27">
        <f>SUM(D216:H216)</f>
        <v>973.96999999999991</v>
      </c>
    </row>
    <row r="217" spans="1:9" x14ac:dyDescent="0.25">
      <c r="A217" s="62"/>
      <c r="B217" s="62"/>
      <c r="C217" s="43" t="s">
        <v>214</v>
      </c>
      <c r="D217" s="27"/>
      <c r="E217" s="27"/>
      <c r="F217" s="27"/>
      <c r="G217" s="27"/>
      <c r="H217" s="27"/>
      <c r="I217" s="27"/>
    </row>
    <row r="218" spans="1:9" x14ac:dyDescent="0.25">
      <c r="A218" s="60" t="s">
        <v>139</v>
      </c>
      <c r="B218" s="60" t="s">
        <v>140</v>
      </c>
      <c r="C218" s="43" t="s">
        <v>208</v>
      </c>
      <c r="D218" s="27">
        <f>SUM(D220:D224)</f>
        <v>123.16</v>
      </c>
      <c r="E218" s="27">
        <f>SUM(E220:E224)</f>
        <v>124.18</v>
      </c>
      <c r="F218" s="27">
        <f>SUM(F220:F224)</f>
        <v>141.83000000000001</v>
      </c>
      <c r="G218" s="27">
        <f>SUM(G220:G224)</f>
        <v>223</v>
      </c>
      <c r="H218" s="27">
        <f>SUM(H220:H224)</f>
        <v>223</v>
      </c>
      <c r="I218" s="27">
        <f>SUM(D218:H218)</f>
        <v>835.17000000000007</v>
      </c>
    </row>
    <row r="219" spans="1:9" x14ac:dyDescent="0.25">
      <c r="A219" s="61"/>
      <c r="B219" s="61"/>
      <c r="C219" s="43" t="s">
        <v>209</v>
      </c>
      <c r="D219" s="27"/>
      <c r="E219" s="27"/>
      <c r="F219" s="27"/>
      <c r="G219" s="27"/>
      <c r="H219" s="27"/>
      <c r="I219" s="27"/>
    </row>
    <row r="220" spans="1:9" x14ac:dyDescent="0.25">
      <c r="A220" s="61"/>
      <c r="B220" s="61"/>
      <c r="C220" s="43" t="s">
        <v>210</v>
      </c>
      <c r="D220" s="27"/>
      <c r="E220" s="27"/>
      <c r="F220" s="27"/>
      <c r="G220" s="27"/>
      <c r="H220" s="27"/>
      <c r="I220" s="27"/>
    </row>
    <row r="221" spans="1:9" x14ac:dyDescent="0.25">
      <c r="A221" s="61"/>
      <c r="B221" s="61"/>
      <c r="C221" s="43" t="s">
        <v>211</v>
      </c>
      <c r="D221" s="27"/>
      <c r="E221" s="27"/>
      <c r="F221" s="27"/>
      <c r="G221" s="27"/>
      <c r="H221" s="27"/>
      <c r="I221" s="27"/>
    </row>
    <row r="222" spans="1:9" ht="15" customHeight="1" x14ac:dyDescent="0.25">
      <c r="A222" s="61"/>
      <c r="B222" s="61"/>
      <c r="C222" s="43" t="s">
        <v>212</v>
      </c>
      <c r="D222" s="27"/>
      <c r="E222" s="27"/>
      <c r="F222" s="27"/>
      <c r="G222" s="27"/>
      <c r="H222" s="27"/>
      <c r="I222" s="27"/>
    </row>
    <row r="223" spans="1:9" x14ac:dyDescent="0.25">
      <c r="A223" s="61"/>
      <c r="B223" s="61"/>
      <c r="C223" s="43" t="s">
        <v>213</v>
      </c>
      <c r="D223" s="27">
        <f>'[1]Приложение 3'!H136</f>
        <v>123.16</v>
      </c>
      <c r="E223" s="27">
        <f>'[1]Приложение 3'!I136</f>
        <v>124.18</v>
      </c>
      <c r="F223" s="27">
        <f>'[1]Приложение 3'!J136</f>
        <v>141.83000000000001</v>
      </c>
      <c r="G223" s="27">
        <f>'[1]Приложение 3'!K136</f>
        <v>223</v>
      </c>
      <c r="H223" s="27">
        <f>'[1]Приложение 3'!L136</f>
        <v>223</v>
      </c>
      <c r="I223" s="27">
        <f>SUM(D223:H223)</f>
        <v>835.17000000000007</v>
      </c>
    </row>
    <row r="224" spans="1:9" x14ac:dyDescent="0.25">
      <c r="A224" s="62"/>
      <c r="B224" s="62"/>
      <c r="C224" s="43" t="s">
        <v>214</v>
      </c>
      <c r="D224" s="27"/>
      <c r="E224" s="27"/>
      <c r="F224" s="27"/>
      <c r="G224" s="27"/>
      <c r="H224" s="27"/>
      <c r="I224" s="27"/>
    </row>
    <row r="225" spans="1:9" x14ac:dyDescent="0.25">
      <c r="A225" s="60" t="s">
        <v>143</v>
      </c>
      <c r="B225" s="60" t="s">
        <v>144</v>
      </c>
      <c r="C225" s="43" t="s">
        <v>208</v>
      </c>
      <c r="D225" s="27">
        <f>SUM(D227:D231)</f>
        <v>7989.4</v>
      </c>
      <c r="E225" s="27">
        <f>SUM(E227:E231)</f>
        <v>0</v>
      </c>
      <c r="F225" s="27">
        <f>SUM(F227:F231)</f>
        <v>0</v>
      </c>
      <c r="G225" s="27">
        <f>SUM(G227:G231)</f>
        <v>0</v>
      </c>
      <c r="H225" s="27">
        <f>SUM(H227:H231)</f>
        <v>0</v>
      </c>
      <c r="I225" s="27">
        <f>SUM(D225:H225)</f>
        <v>7989.4</v>
      </c>
    </row>
    <row r="226" spans="1:9" x14ac:dyDescent="0.25">
      <c r="A226" s="61"/>
      <c r="B226" s="61"/>
      <c r="C226" s="43" t="s">
        <v>209</v>
      </c>
      <c r="D226" s="27"/>
      <c r="E226" s="27"/>
      <c r="F226" s="27"/>
      <c r="G226" s="27"/>
      <c r="H226" s="27"/>
      <c r="I226" s="27"/>
    </row>
    <row r="227" spans="1:9" x14ac:dyDescent="0.25">
      <c r="A227" s="61"/>
      <c r="B227" s="61"/>
      <c r="C227" s="43" t="s">
        <v>210</v>
      </c>
      <c r="D227" s="27"/>
      <c r="E227" s="27"/>
      <c r="F227" s="27"/>
      <c r="G227" s="27"/>
      <c r="H227" s="27"/>
      <c r="I227" s="27"/>
    </row>
    <row r="228" spans="1:9" x14ac:dyDescent="0.25">
      <c r="A228" s="61"/>
      <c r="B228" s="61"/>
      <c r="C228" s="43" t="s">
        <v>211</v>
      </c>
      <c r="D228" s="27">
        <f>'[1]Приложение 3'!H137</f>
        <v>7989.4</v>
      </c>
      <c r="E228" s="27">
        <f>'[1]Приложение 3'!I137</f>
        <v>0</v>
      </c>
      <c r="F228" s="27">
        <f>'[1]Приложение 3'!J137</f>
        <v>0</v>
      </c>
      <c r="G228" s="27">
        <f>'[1]Приложение 3'!K137</f>
        <v>0</v>
      </c>
      <c r="H228" s="27">
        <f>'[1]Приложение 3'!L137</f>
        <v>0</v>
      </c>
      <c r="I228" s="27">
        <f>SUM(D228:H228)</f>
        <v>7989.4</v>
      </c>
    </row>
    <row r="229" spans="1:9" ht="14.25" customHeight="1" x14ac:dyDescent="0.25">
      <c r="A229" s="61"/>
      <c r="B229" s="61"/>
      <c r="C229" s="43" t="s">
        <v>212</v>
      </c>
      <c r="D229" s="27"/>
      <c r="E229" s="27"/>
      <c r="F229" s="27"/>
      <c r="G229" s="27"/>
      <c r="H229" s="27"/>
      <c r="I229" s="27"/>
    </row>
    <row r="230" spans="1:9" x14ac:dyDescent="0.25">
      <c r="A230" s="61"/>
      <c r="B230" s="61"/>
      <c r="C230" s="43" t="s">
        <v>213</v>
      </c>
      <c r="D230" s="27"/>
      <c r="E230" s="27"/>
      <c r="F230" s="27"/>
      <c r="G230" s="27"/>
      <c r="H230" s="27"/>
      <c r="I230" s="27"/>
    </row>
    <row r="231" spans="1:9" x14ac:dyDescent="0.25">
      <c r="A231" s="62"/>
      <c r="B231" s="62"/>
      <c r="C231" s="43" t="s">
        <v>214</v>
      </c>
      <c r="D231" s="27"/>
      <c r="E231" s="27"/>
      <c r="F231" s="27"/>
      <c r="G231" s="27"/>
      <c r="H231" s="27"/>
      <c r="I231" s="27"/>
    </row>
    <row r="232" spans="1:9" x14ac:dyDescent="0.25">
      <c r="A232" s="60" t="s">
        <v>146</v>
      </c>
      <c r="B232" s="60" t="s">
        <v>147</v>
      </c>
      <c r="C232" s="43" t="s">
        <v>208</v>
      </c>
      <c r="D232" s="27">
        <f>SUM(D234:D238)</f>
        <v>600</v>
      </c>
      <c r="E232" s="27">
        <f>SUM(E234:E238)</f>
        <v>600</v>
      </c>
      <c r="F232" s="27">
        <f>SUM(F234:F238)</f>
        <v>600</v>
      </c>
      <c r="G232" s="27">
        <f>SUM(G234:G238)</f>
        <v>600</v>
      </c>
      <c r="H232" s="27">
        <f>SUM(H234:H238)</f>
        <v>600</v>
      </c>
      <c r="I232" s="27">
        <f>SUM(D232:H232)</f>
        <v>3000</v>
      </c>
    </row>
    <row r="233" spans="1:9" x14ac:dyDescent="0.25">
      <c r="A233" s="61"/>
      <c r="B233" s="61"/>
      <c r="C233" s="43" t="s">
        <v>209</v>
      </c>
      <c r="D233" s="27"/>
      <c r="E233" s="27"/>
      <c r="F233" s="27"/>
      <c r="G233" s="27"/>
      <c r="H233" s="27"/>
      <c r="I233" s="27"/>
    </row>
    <row r="234" spans="1:9" x14ac:dyDescent="0.25">
      <c r="A234" s="61"/>
      <c r="B234" s="61"/>
      <c r="C234" s="43" t="s">
        <v>210</v>
      </c>
      <c r="D234" s="27"/>
      <c r="E234" s="27"/>
      <c r="F234" s="27"/>
      <c r="G234" s="27"/>
      <c r="H234" s="27"/>
      <c r="I234" s="27"/>
    </row>
    <row r="235" spans="1:9" x14ac:dyDescent="0.25">
      <c r="A235" s="61"/>
      <c r="B235" s="61"/>
      <c r="C235" s="43" t="s">
        <v>211</v>
      </c>
      <c r="D235" s="27"/>
      <c r="E235" s="27"/>
      <c r="F235" s="27"/>
      <c r="G235" s="27"/>
      <c r="H235" s="27"/>
      <c r="I235" s="27"/>
    </row>
    <row r="236" spans="1:9" ht="15.75" customHeight="1" x14ac:dyDescent="0.25">
      <c r="A236" s="61"/>
      <c r="B236" s="61"/>
      <c r="C236" s="43" t="s">
        <v>212</v>
      </c>
      <c r="D236" s="27"/>
      <c r="E236" s="27"/>
      <c r="F236" s="27"/>
      <c r="G236" s="27"/>
      <c r="H236" s="27"/>
      <c r="I236" s="27"/>
    </row>
    <row r="237" spans="1:9" x14ac:dyDescent="0.25">
      <c r="A237" s="61"/>
      <c r="B237" s="61"/>
      <c r="C237" s="43" t="s">
        <v>213</v>
      </c>
      <c r="D237" s="27">
        <f>'[1]Приложение 3'!H143</f>
        <v>600</v>
      </c>
      <c r="E237" s="27">
        <f>'[1]Приложение 3'!I143</f>
        <v>600</v>
      </c>
      <c r="F237" s="27">
        <f>'[1]Приложение 3'!J143</f>
        <v>600</v>
      </c>
      <c r="G237" s="27">
        <f>'[1]Приложение 3'!K143</f>
        <v>600</v>
      </c>
      <c r="H237" s="27">
        <f>'[1]Приложение 3'!L143</f>
        <v>600</v>
      </c>
      <c r="I237" s="27">
        <f>SUM(D237:H237)</f>
        <v>3000</v>
      </c>
    </row>
    <row r="238" spans="1:9" x14ac:dyDescent="0.25">
      <c r="A238" s="62"/>
      <c r="B238" s="62"/>
      <c r="C238" s="43" t="s">
        <v>214</v>
      </c>
      <c r="D238" s="27"/>
      <c r="E238" s="27"/>
      <c r="F238" s="27"/>
      <c r="G238" s="27"/>
      <c r="H238" s="27"/>
      <c r="I238" s="27"/>
    </row>
    <row r="239" spans="1:9" x14ac:dyDescent="0.25">
      <c r="A239" s="60" t="s">
        <v>149</v>
      </c>
      <c r="B239" s="60" t="s">
        <v>150</v>
      </c>
      <c r="C239" s="43" t="s">
        <v>208</v>
      </c>
      <c r="D239" s="27">
        <f>SUM(D241:D245)</f>
        <v>11038.61</v>
      </c>
      <c r="E239" s="27">
        <f>SUM(E241:E245)</f>
        <v>11324.811799999998</v>
      </c>
      <c r="F239" s="27">
        <f>SUM(F241:F245)</f>
        <v>11297.07</v>
      </c>
      <c r="G239" s="27">
        <f>SUM(G241:G245)</f>
        <v>11300.039999999999</v>
      </c>
      <c r="H239" s="27">
        <f>SUM(H241:H245)</f>
        <v>11300.039999999999</v>
      </c>
      <c r="I239" s="27">
        <f>SUM(D239:H239)</f>
        <v>56260.571799999998</v>
      </c>
    </row>
    <row r="240" spans="1:9" x14ac:dyDescent="0.25">
      <c r="A240" s="61"/>
      <c r="B240" s="61"/>
      <c r="C240" s="43" t="s">
        <v>209</v>
      </c>
      <c r="D240" s="27"/>
      <c r="E240" s="27"/>
      <c r="F240" s="27"/>
      <c r="G240" s="27"/>
      <c r="H240" s="27"/>
      <c r="I240" s="27"/>
    </row>
    <row r="241" spans="1:9" x14ac:dyDescent="0.25">
      <c r="A241" s="61"/>
      <c r="B241" s="61"/>
      <c r="C241" s="43" t="s">
        <v>210</v>
      </c>
      <c r="D241" s="27"/>
      <c r="E241" s="27"/>
      <c r="F241" s="27"/>
      <c r="G241" s="27"/>
      <c r="H241" s="27"/>
      <c r="I241" s="27"/>
    </row>
    <row r="242" spans="1:9" x14ac:dyDescent="0.25">
      <c r="A242" s="61"/>
      <c r="B242" s="61"/>
      <c r="C242" s="43" t="s">
        <v>211</v>
      </c>
      <c r="D242" s="27"/>
      <c r="E242" s="27"/>
      <c r="F242" s="27"/>
      <c r="G242" s="27"/>
      <c r="H242" s="27"/>
      <c r="I242" s="27"/>
    </row>
    <row r="243" spans="1:9" ht="17.25" customHeight="1" x14ac:dyDescent="0.25">
      <c r="A243" s="61"/>
      <c r="B243" s="61"/>
      <c r="C243" s="43" t="s">
        <v>212</v>
      </c>
      <c r="D243" s="27"/>
      <c r="E243" s="27"/>
      <c r="F243" s="27"/>
      <c r="G243" s="27"/>
      <c r="H243" s="27"/>
      <c r="I243" s="27"/>
    </row>
    <row r="244" spans="1:9" x14ac:dyDescent="0.25">
      <c r="A244" s="61"/>
      <c r="B244" s="61"/>
      <c r="C244" s="43" t="s">
        <v>213</v>
      </c>
      <c r="D244" s="27">
        <f>'[1]Приложение 3'!H144</f>
        <v>11038.61</v>
      </c>
      <c r="E244" s="27">
        <f>'[1]Приложение 3'!I144</f>
        <v>11324.811799999998</v>
      </c>
      <c r="F244" s="27">
        <f>'[1]Приложение 3'!J144</f>
        <v>11297.07</v>
      </c>
      <c r="G244" s="27">
        <f>'[1]Приложение 3'!K144</f>
        <v>11300.039999999999</v>
      </c>
      <c r="H244" s="27">
        <f>'[1]Приложение 3'!L144</f>
        <v>11300.039999999999</v>
      </c>
      <c r="I244" s="27">
        <f>SUM(D244:H244)</f>
        <v>56260.571799999998</v>
      </c>
    </row>
    <row r="245" spans="1:9" x14ac:dyDescent="0.25">
      <c r="A245" s="62"/>
      <c r="B245" s="62"/>
      <c r="C245" s="43" t="s">
        <v>214</v>
      </c>
      <c r="D245" s="27"/>
      <c r="E245" s="27"/>
      <c r="F245" s="27"/>
      <c r="G245" s="27"/>
      <c r="H245" s="27"/>
      <c r="I245" s="27"/>
    </row>
    <row r="246" spans="1:9" ht="165.75" customHeight="1" x14ac:dyDescent="0.25">
      <c r="A246" s="60" t="s">
        <v>155</v>
      </c>
      <c r="B246" s="60" t="s">
        <v>156</v>
      </c>
      <c r="C246" s="43" t="s">
        <v>208</v>
      </c>
      <c r="D246" s="27">
        <f>SUM(D248:D252)</f>
        <v>124.1</v>
      </c>
      <c r="E246" s="27">
        <f>SUM(E248:E252)</f>
        <v>124.1</v>
      </c>
      <c r="F246" s="27">
        <f>SUM(F248:F252)</f>
        <v>124.1</v>
      </c>
      <c r="G246" s="27">
        <f>SUM(G248:G252)</f>
        <v>124.1</v>
      </c>
      <c r="H246" s="27">
        <f>SUM(H248:H252)</f>
        <v>124.1</v>
      </c>
      <c r="I246" s="27">
        <f>SUM(D246:H246)</f>
        <v>620.5</v>
      </c>
    </row>
    <row r="247" spans="1:9" x14ac:dyDescent="0.25">
      <c r="A247" s="61"/>
      <c r="B247" s="61"/>
      <c r="C247" s="43" t="s">
        <v>209</v>
      </c>
      <c r="D247" s="27"/>
      <c r="E247" s="27"/>
      <c r="F247" s="27"/>
      <c r="G247" s="27"/>
      <c r="H247" s="27"/>
      <c r="I247" s="27"/>
    </row>
    <row r="248" spans="1:9" x14ac:dyDescent="0.25">
      <c r="A248" s="61"/>
      <c r="B248" s="61"/>
      <c r="C248" s="43" t="s">
        <v>210</v>
      </c>
      <c r="D248" s="27"/>
      <c r="E248" s="27"/>
      <c r="F248" s="27"/>
      <c r="G248" s="27"/>
      <c r="H248" s="27"/>
      <c r="I248" s="27"/>
    </row>
    <row r="249" spans="1:9" x14ac:dyDescent="0.25">
      <c r="A249" s="61"/>
      <c r="B249" s="61"/>
      <c r="C249" s="43" t="s">
        <v>211</v>
      </c>
      <c r="D249" s="27"/>
      <c r="E249" s="27"/>
      <c r="F249" s="27"/>
      <c r="G249" s="27"/>
      <c r="H249" s="27"/>
      <c r="I249" s="27"/>
    </row>
    <row r="250" spans="1:9" ht="15.75" customHeight="1" x14ac:dyDescent="0.25">
      <c r="A250" s="61"/>
      <c r="B250" s="61"/>
      <c r="C250" s="43" t="s">
        <v>212</v>
      </c>
      <c r="D250" s="27"/>
      <c r="E250" s="27"/>
      <c r="F250" s="27"/>
      <c r="G250" s="27"/>
      <c r="H250" s="27"/>
      <c r="I250" s="27"/>
    </row>
    <row r="251" spans="1:9" x14ac:dyDescent="0.25">
      <c r="A251" s="61"/>
      <c r="B251" s="61"/>
      <c r="C251" s="43" t="s">
        <v>213</v>
      </c>
      <c r="D251" s="27">
        <f>'[1]Приложение 3'!H154</f>
        <v>124.1</v>
      </c>
      <c r="E251" s="27">
        <f>'[1]Приложение 3'!I154</f>
        <v>124.1</v>
      </c>
      <c r="F251" s="27">
        <f>'[1]Приложение 3'!J154</f>
        <v>124.1</v>
      </c>
      <c r="G251" s="27">
        <f>'[1]Приложение 3'!K154</f>
        <v>124.1</v>
      </c>
      <c r="H251" s="27">
        <f>'[1]Приложение 3'!L154</f>
        <v>124.1</v>
      </c>
      <c r="I251" s="27">
        <f>SUM(D251:H251)</f>
        <v>620.5</v>
      </c>
    </row>
    <row r="252" spans="1:9" ht="35.25" customHeight="1" x14ac:dyDescent="0.25">
      <c r="A252" s="62"/>
      <c r="B252" s="62"/>
      <c r="C252" s="43" t="s">
        <v>214</v>
      </c>
      <c r="D252" s="27"/>
      <c r="E252" s="27"/>
      <c r="F252" s="27"/>
      <c r="G252" s="27"/>
      <c r="H252" s="27"/>
      <c r="I252" s="27"/>
    </row>
    <row r="253" spans="1:9" x14ac:dyDescent="0.25">
      <c r="A253" s="60" t="s">
        <v>158</v>
      </c>
      <c r="B253" s="60" t="s">
        <v>159</v>
      </c>
      <c r="C253" s="43" t="s">
        <v>208</v>
      </c>
      <c r="D253" s="27">
        <f>SUM(D255:D259)</f>
        <v>59.11</v>
      </c>
      <c r="E253" s="27">
        <f>SUM(E255:E259)</f>
        <v>119.15</v>
      </c>
      <c r="F253" s="27">
        <f>SUM(F255:F259)</f>
        <v>323.53999999999996</v>
      </c>
      <c r="G253" s="27">
        <f>SUM(G255:G259)</f>
        <v>323.53999999999996</v>
      </c>
      <c r="H253" s="27">
        <f>SUM(H255:H259)</f>
        <v>323.53999999999996</v>
      </c>
      <c r="I253" s="27">
        <f>SUM(D253:H253)</f>
        <v>1148.8799999999999</v>
      </c>
    </row>
    <row r="254" spans="1:9" x14ac:dyDescent="0.25">
      <c r="A254" s="61"/>
      <c r="B254" s="61"/>
      <c r="C254" s="43" t="s">
        <v>209</v>
      </c>
      <c r="D254" s="27"/>
      <c r="E254" s="27"/>
      <c r="F254" s="27"/>
      <c r="G254" s="27"/>
      <c r="H254" s="27"/>
      <c r="I254" s="27"/>
    </row>
    <row r="255" spans="1:9" x14ac:dyDescent="0.25">
      <c r="A255" s="61"/>
      <c r="B255" s="61"/>
      <c r="C255" s="43" t="s">
        <v>210</v>
      </c>
      <c r="D255" s="27"/>
      <c r="E255" s="27"/>
      <c r="F255" s="27"/>
      <c r="G255" s="27"/>
      <c r="H255" s="27"/>
      <c r="I255" s="27"/>
    </row>
    <row r="256" spans="1:9" x14ac:dyDescent="0.25">
      <c r="A256" s="61"/>
      <c r="B256" s="61"/>
      <c r="C256" s="43" t="s">
        <v>211</v>
      </c>
      <c r="D256" s="27"/>
      <c r="E256" s="27"/>
      <c r="F256" s="27"/>
      <c r="G256" s="27"/>
      <c r="H256" s="27"/>
      <c r="I256" s="27"/>
    </row>
    <row r="257" spans="1:9" ht="15.75" customHeight="1" x14ac:dyDescent="0.25">
      <c r="A257" s="61"/>
      <c r="B257" s="61"/>
      <c r="C257" s="43" t="s">
        <v>212</v>
      </c>
      <c r="D257" s="27"/>
      <c r="E257" s="27"/>
      <c r="F257" s="27"/>
      <c r="G257" s="27"/>
      <c r="H257" s="27"/>
      <c r="I257" s="27"/>
    </row>
    <row r="258" spans="1:9" x14ac:dyDescent="0.25">
      <c r="A258" s="61"/>
      <c r="B258" s="61"/>
      <c r="C258" s="43" t="s">
        <v>213</v>
      </c>
      <c r="D258" s="27">
        <f>'[1]Приложение 3'!H155</f>
        <v>59.11</v>
      </c>
      <c r="E258" s="27">
        <f>'[1]Приложение 3'!I155</f>
        <v>119.15</v>
      </c>
      <c r="F258" s="27">
        <f>'[1]Приложение 3'!J155</f>
        <v>323.53999999999996</v>
      </c>
      <c r="G258" s="27">
        <f>'[1]Приложение 3'!K155</f>
        <v>323.53999999999996</v>
      </c>
      <c r="H258" s="27">
        <f>'[1]Приложение 3'!L155</f>
        <v>323.53999999999996</v>
      </c>
      <c r="I258" s="27">
        <f>SUM(D258:H258)</f>
        <v>1148.8799999999999</v>
      </c>
    </row>
    <row r="259" spans="1:9" x14ac:dyDescent="0.25">
      <c r="A259" s="62"/>
      <c r="B259" s="62"/>
      <c r="C259" s="43" t="s">
        <v>214</v>
      </c>
      <c r="D259" s="27"/>
      <c r="E259" s="27"/>
      <c r="F259" s="27"/>
      <c r="G259" s="27"/>
      <c r="H259" s="27"/>
      <c r="I259" s="27"/>
    </row>
    <row r="260" spans="1:9" x14ac:dyDescent="0.25">
      <c r="A260" s="67" t="s">
        <v>161</v>
      </c>
      <c r="B260" s="67" t="s">
        <v>162</v>
      </c>
      <c r="C260" s="43" t="s">
        <v>208</v>
      </c>
      <c r="D260" s="27">
        <f>SUM(D262:D266)</f>
        <v>2288.5</v>
      </c>
      <c r="E260" s="27">
        <f>SUM(E262:E266)</f>
        <v>0</v>
      </c>
      <c r="F260" s="27">
        <f>SUM(F262:F266)</f>
        <v>0</v>
      </c>
      <c r="G260" s="27">
        <f>SUM(G262:G266)</f>
        <v>0</v>
      </c>
      <c r="H260" s="27">
        <f>SUM(H262:H266)</f>
        <v>0</v>
      </c>
      <c r="I260" s="27">
        <f>SUM(D260:H260)</f>
        <v>2288.5</v>
      </c>
    </row>
    <row r="261" spans="1:9" x14ac:dyDescent="0.25">
      <c r="A261" s="67"/>
      <c r="B261" s="67"/>
      <c r="C261" s="43" t="s">
        <v>209</v>
      </c>
      <c r="D261" s="27"/>
      <c r="E261" s="27"/>
      <c r="F261" s="27"/>
      <c r="G261" s="27"/>
      <c r="H261" s="27"/>
      <c r="I261" s="27"/>
    </row>
    <row r="262" spans="1:9" x14ac:dyDescent="0.25">
      <c r="A262" s="67"/>
      <c r="B262" s="67"/>
      <c r="C262" s="43" t="s">
        <v>210</v>
      </c>
      <c r="D262" s="27"/>
      <c r="E262" s="27"/>
      <c r="F262" s="27"/>
      <c r="G262" s="27"/>
      <c r="H262" s="27"/>
      <c r="I262" s="27"/>
    </row>
    <row r="263" spans="1:9" x14ac:dyDescent="0.25">
      <c r="A263" s="67"/>
      <c r="B263" s="67"/>
      <c r="C263" s="43" t="s">
        <v>211</v>
      </c>
      <c r="D263" s="27">
        <f>'[1]Приложение 3'!H161</f>
        <v>2288.5</v>
      </c>
      <c r="E263" s="27">
        <f>'[1]Приложение 3'!I161</f>
        <v>0</v>
      </c>
      <c r="F263" s="27">
        <f>'[1]Приложение 3'!J161</f>
        <v>0</v>
      </c>
      <c r="G263" s="27">
        <f>'[1]Приложение 3'!K161</f>
        <v>0</v>
      </c>
      <c r="H263" s="27">
        <f>'[1]Приложение 3'!L161</f>
        <v>0</v>
      </c>
      <c r="I263" s="27">
        <f>SUM(D263:H263)</f>
        <v>2288.5</v>
      </c>
    </row>
    <row r="264" spans="1:9" ht="15.75" customHeight="1" x14ac:dyDescent="0.25">
      <c r="A264" s="67"/>
      <c r="B264" s="67"/>
      <c r="C264" s="43" t="s">
        <v>212</v>
      </c>
      <c r="D264" s="27"/>
      <c r="E264" s="27"/>
      <c r="F264" s="27"/>
      <c r="G264" s="27"/>
      <c r="H264" s="27"/>
      <c r="I264" s="27"/>
    </row>
    <row r="265" spans="1:9" x14ac:dyDescent="0.25">
      <c r="A265" s="67"/>
      <c r="B265" s="67"/>
      <c r="C265" s="43" t="s">
        <v>213</v>
      </c>
      <c r="D265" s="27"/>
      <c r="E265" s="27"/>
      <c r="F265" s="27"/>
      <c r="G265" s="27"/>
      <c r="H265" s="27"/>
      <c r="I265" s="27"/>
    </row>
    <row r="266" spans="1:9" x14ac:dyDescent="0.25">
      <c r="A266" s="67"/>
      <c r="B266" s="67"/>
      <c r="C266" s="43" t="s">
        <v>214</v>
      </c>
      <c r="D266" s="27"/>
      <c r="E266" s="27"/>
      <c r="F266" s="27"/>
      <c r="G266" s="27"/>
      <c r="H266" s="27"/>
      <c r="I266" s="27"/>
    </row>
    <row r="267" spans="1:9" ht="205.5" customHeight="1" x14ac:dyDescent="0.25">
      <c r="A267" s="67" t="s">
        <v>164</v>
      </c>
      <c r="B267" s="67" t="s">
        <v>220</v>
      </c>
      <c r="C267" s="43" t="s">
        <v>208</v>
      </c>
      <c r="D267" s="27">
        <f>SUM(D269:D273)</f>
        <v>8600</v>
      </c>
      <c r="E267" s="27">
        <f>SUM(E269:E273)</f>
        <v>3928.5</v>
      </c>
      <c r="F267" s="27">
        <f>SUM(F269:F273)</f>
        <v>0</v>
      </c>
      <c r="G267" s="27">
        <f>SUM(G269:G273)</f>
        <v>0</v>
      </c>
      <c r="H267" s="27">
        <f>SUM(H269:H273)</f>
        <v>0</v>
      </c>
      <c r="I267" s="27">
        <f>SUM(D267:H267)</f>
        <v>12528.5</v>
      </c>
    </row>
    <row r="268" spans="1:9" x14ac:dyDescent="0.25">
      <c r="A268" s="67"/>
      <c r="B268" s="67"/>
      <c r="C268" s="43" t="s">
        <v>209</v>
      </c>
      <c r="D268" s="27"/>
      <c r="E268" s="27"/>
      <c r="F268" s="27"/>
      <c r="G268" s="27"/>
      <c r="H268" s="27"/>
      <c r="I268" s="27"/>
    </row>
    <row r="269" spans="1:9" x14ac:dyDescent="0.25">
      <c r="A269" s="67"/>
      <c r="B269" s="67"/>
      <c r="C269" s="43" t="s">
        <v>210</v>
      </c>
      <c r="D269" s="27"/>
      <c r="E269" s="27"/>
      <c r="F269" s="27"/>
      <c r="G269" s="27"/>
      <c r="H269" s="27"/>
      <c r="I269" s="27"/>
    </row>
    <row r="270" spans="1:9" x14ac:dyDescent="0.25">
      <c r="A270" s="67"/>
      <c r="B270" s="67"/>
      <c r="C270" s="43" t="s">
        <v>211</v>
      </c>
      <c r="D270" s="27">
        <f>'[1]Приложение 3'!H164</f>
        <v>8600</v>
      </c>
      <c r="E270" s="27">
        <f>'[1]Приложение 3'!I164</f>
        <v>3928.5</v>
      </c>
      <c r="F270" s="27">
        <f>'[1]Приложение 3'!J164</f>
        <v>0</v>
      </c>
      <c r="G270" s="27">
        <f>'[1]Приложение 3'!K164</f>
        <v>0</v>
      </c>
      <c r="H270" s="27">
        <f>'[1]Приложение 3'!L164</f>
        <v>0</v>
      </c>
      <c r="I270" s="27">
        <f>SUM(D270:H270)</f>
        <v>12528.5</v>
      </c>
    </row>
    <row r="271" spans="1:9" x14ac:dyDescent="0.25">
      <c r="A271" s="67"/>
      <c r="B271" s="67"/>
      <c r="C271" s="43" t="s">
        <v>212</v>
      </c>
      <c r="D271" s="27"/>
      <c r="E271" s="27"/>
      <c r="F271" s="27"/>
      <c r="G271" s="27"/>
      <c r="H271" s="27"/>
      <c r="I271" s="27"/>
    </row>
    <row r="272" spans="1:9" x14ac:dyDescent="0.25">
      <c r="A272" s="67"/>
      <c r="B272" s="67"/>
      <c r="C272" s="43" t="s">
        <v>213</v>
      </c>
      <c r="D272" s="27"/>
      <c r="E272" s="27"/>
      <c r="F272" s="27"/>
      <c r="G272" s="27"/>
      <c r="H272" s="27"/>
      <c r="I272" s="27"/>
    </row>
    <row r="273" spans="1:9" x14ac:dyDescent="0.25">
      <c r="A273" s="67"/>
      <c r="B273" s="67"/>
      <c r="C273" s="43" t="s">
        <v>214</v>
      </c>
      <c r="D273" s="27"/>
      <c r="E273" s="27"/>
      <c r="F273" s="27"/>
      <c r="G273" s="27"/>
      <c r="H273" s="27"/>
      <c r="I273" s="27"/>
    </row>
    <row r="274" spans="1:9" x14ac:dyDescent="0.25">
      <c r="A274" s="67" t="s">
        <v>167</v>
      </c>
      <c r="B274" s="67" t="s">
        <v>168</v>
      </c>
      <c r="C274" s="43" t="s">
        <v>208</v>
      </c>
      <c r="D274" s="27">
        <f>SUM(D276:D280)</f>
        <v>823.12</v>
      </c>
      <c r="E274" s="27">
        <f>SUM(E276:E280)</f>
        <v>3923.08</v>
      </c>
      <c r="F274" s="27">
        <f>SUM(F276:F280)</f>
        <v>4200.6000000000004</v>
      </c>
      <c r="G274" s="27">
        <f>SUM(G276:G280)</f>
        <v>4200.6000000000004</v>
      </c>
      <c r="H274" s="27">
        <f>SUM(H276:H280)</f>
        <v>4200.6000000000004</v>
      </c>
      <c r="I274" s="27">
        <f>SUM(D274:H274)</f>
        <v>17348</v>
      </c>
    </row>
    <row r="275" spans="1:9" ht="31.5" customHeight="1" x14ac:dyDescent="0.25">
      <c r="A275" s="67"/>
      <c r="B275" s="67"/>
      <c r="C275" s="43" t="s">
        <v>209</v>
      </c>
      <c r="D275" s="27"/>
      <c r="E275" s="27"/>
      <c r="F275" s="27"/>
      <c r="G275" s="27"/>
      <c r="H275" s="27"/>
      <c r="I275" s="27"/>
    </row>
    <row r="276" spans="1:9" ht="39" customHeight="1" x14ac:dyDescent="0.25">
      <c r="A276" s="67"/>
      <c r="B276" s="67"/>
      <c r="C276" s="43" t="s">
        <v>210</v>
      </c>
      <c r="D276" s="27"/>
      <c r="E276" s="27"/>
      <c r="F276" s="27"/>
      <c r="G276" s="27"/>
      <c r="H276" s="27"/>
      <c r="I276" s="27"/>
    </row>
    <row r="277" spans="1:9" ht="32.25" customHeight="1" x14ac:dyDescent="0.25">
      <c r="A277" s="67"/>
      <c r="B277" s="67"/>
      <c r="C277" s="43" t="s">
        <v>211</v>
      </c>
      <c r="D277" s="27"/>
      <c r="E277" s="27"/>
      <c r="F277" s="27"/>
      <c r="G277" s="27"/>
      <c r="H277" s="27"/>
      <c r="I277" s="27"/>
    </row>
    <row r="278" spans="1:9" ht="33.75" customHeight="1" x14ac:dyDescent="0.25">
      <c r="A278" s="67"/>
      <c r="B278" s="67"/>
      <c r="C278" s="43" t="s">
        <v>212</v>
      </c>
      <c r="D278" s="27"/>
      <c r="E278" s="27"/>
      <c r="F278" s="27"/>
      <c r="G278" s="27"/>
      <c r="H278" s="27"/>
      <c r="I278" s="27"/>
    </row>
    <row r="279" spans="1:9" ht="33.75" customHeight="1" x14ac:dyDescent="0.25">
      <c r="A279" s="67"/>
      <c r="B279" s="67"/>
      <c r="C279" s="43" t="s">
        <v>213</v>
      </c>
      <c r="D279" s="27">
        <f>'[1]Приложение 3'!H167</f>
        <v>823.12</v>
      </c>
      <c r="E279" s="27">
        <f>'[1]Приложение 3'!I167</f>
        <v>3923.08</v>
      </c>
      <c r="F279" s="27">
        <f>'[1]Приложение 3'!J167</f>
        <v>4200.6000000000004</v>
      </c>
      <c r="G279" s="27">
        <f>'[1]Приложение 3'!K167</f>
        <v>4200.6000000000004</v>
      </c>
      <c r="H279" s="27">
        <f>'[1]Приложение 3'!L167</f>
        <v>4200.6000000000004</v>
      </c>
      <c r="I279" s="27">
        <f>SUM(D279:H279)</f>
        <v>17348</v>
      </c>
    </row>
    <row r="280" spans="1:9" ht="21.75" customHeight="1" x14ac:dyDescent="0.25">
      <c r="A280" s="67"/>
      <c r="B280" s="67"/>
      <c r="C280" s="43" t="s">
        <v>214</v>
      </c>
      <c r="D280" s="27"/>
      <c r="E280" s="27"/>
      <c r="F280" s="27"/>
      <c r="G280" s="27"/>
      <c r="H280" s="27"/>
      <c r="I280" s="27"/>
    </row>
    <row r="281" spans="1:9" ht="14.25" customHeight="1" x14ac:dyDescent="0.25">
      <c r="A281" s="67" t="s">
        <v>171</v>
      </c>
      <c r="B281" s="60" t="s">
        <v>172</v>
      </c>
      <c r="C281" s="43" t="s">
        <v>208</v>
      </c>
      <c r="D281" s="27">
        <f>SUM(D283:D287)</f>
        <v>0</v>
      </c>
      <c r="E281" s="27">
        <f>SUM(E283:E287)</f>
        <v>4227.32</v>
      </c>
      <c r="F281" s="27">
        <f>SUM(F283:F287)</f>
        <v>10793.7</v>
      </c>
      <c r="G281" s="27">
        <f>SUM(G283:G287)</f>
        <v>10793.7</v>
      </c>
      <c r="H281" s="27">
        <f>SUM(H283:H287)</f>
        <v>10793.7</v>
      </c>
      <c r="I281" s="27">
        <f>SUM(D281:H281)</f>
        <v>36608.42</v>
      </c>
    </row>
    <row r="282" spans="1:9" x14ac:dyDescent="0.25">
      <c r="A282" s="67"/>
      <c r="B282" s="61"/>
      <c r="C282" s="43" t="s">
        <v>209</v>
      </c>
      <c r="D282" s="27"/>
      <c r="E282" s="27"/>
      <c r="F282" s="27"/>
      <c r="G282" s="27"/>
      <c r="H282" s="27"/>
      <c r="I282" s="27"/>
    </row>
    <row r="283" spans="1:9" x14ac:dyDescent="0.25">
      <c r="A283" s="67"/>
      <c r="B283" s="61"/>
      <c r="C283" s="43" t="s">
        <v>210</v>
      </c>
      <c r="D283" s="27"/>
      <c r="E283" s="27"/>
      <c r="F283" s="27"/>
      <c r="G283" s="27"/>
      <c r="H283" s="27"/>
      <c r="I283" s="27"/>
    </row>
    <row r="284" spans="1:9" x14ac:dyDescent="0.25">
      <c r="A284" s="67"/>
      <c r="B284" s="61"/>
      <c r="C284" s="43" t="s">
        <v>211</v>
      </c>
      <c r="D284" s="27">
        <f>'[1]Приложение 3'!H168</f>
        <v>0</v>
      </c>
      <c r="E284" s="27">
        <f>'[1]Приложение 3'!I168</f>
        <v>4227.32</v>
      </c>
      <c r="F284" s="27">
        <f>'[1]Приложение 3'!J168</f>
        <v>10793.7</v>
      </c>
      <c r="G284" s="27">
        <f>'[1]Приложение 3'!K168</f>
        <v>10793.7</v>
      </c>
      <c r="H284" s="27">
        <f>'[1]Приложение 3'!L168</f>
        <v>10793.7</v>
      </c>
      <c r="I284" s="27">
        <f>SUM(D284:H284)</f>
        <v>36608.42</v>
      </c>
    </row>
    <row r="285" spans="1:9" x14ac:dyDescent="0.25">
      <c r="A285" s="67"/>
      <c r="B285" s="61"/>
      <c r="C285" s="43" t="s">
        <v>212</v>
      </c>
      <c r="D285" s="27"/>
      <c r="E285" s="27"/>
      <c r="F285" s="27"/>
      <c r="G285" s="27"/>
      <c r="H285" s="27"/>
      <c r="I285" s="27"/>
    </row>
    <row r="286" spans="1:9" x14ac:dyDescent="0.25">
      <c r="A286" s="67"/>
      <c r="B286" s="61"/>
      <c r="C286" s="43" t="s">
        <v>213</v>
      </c>
      <c r="D286" s="27"/>
      <c r="E286" s="27"/>
      <c r="F286" s="27"/>
      <c r="G286" s="27"/>
      <c r="H286" s="27"/>
      <c r="I286" s="27"/>
    </row>
    <row r="287" spans="1:9" x14ac:dyDescent="0.25">
      <c r="A287" s="67"/>
      <c r="B287" s="62"/>
      <c r="C287" s="43" t="s">
        <v>214</v>
      </c>
      <c r="D287" s="27"/>
      <c r="E287" s="27"/>
      <c r="F287" s="27"/>
      <c r="G287" s="27"/>
      <c r="H287" s="27"/>
      <c r="I287" s="27"/>
    </row>
    <row r="288" spans="1:9" ht="16.5" customHeight="1" x14ac:dyDescent="0.25">
      <c r="A288" s="67" t="s">
        <v>174</v>
      </c>
      <c r="B288" s="60" t="s">
        <v>221</v>
      </c>
      <c r="C288" s="43" t="s">
        <v>208</v>
      </c>
      <c r="D288" s="27">
        <f>SUM(D290:D294)</f>
        <v>8.6199999999999992</v>
      </c>
      <c r="E288" s="27">
        <f>SUM(E290:E294)</f>
        <v>0</v>
      </c>
      <c r="F288" s="27">
        <f>SUM(F290:F294)</f>
        <v>0</v>
      </c>
      <c r="G288" s="27">
        <f>SUM(G290:G294)</f>
        <v>0</v>
      </c>
      <c r="H288" s="27">
        <f>SUM(H290:H294)</f>
        <v>0</v>
      </c>
      <c r="I288" s="27">
        <f>SUM(D288:H288)</f>
        <v>8.6199999999999992</v>
      </c>
    </row>
    <row r="289" spans="1:9" x14ac:dyDescent="0.25">
      <c r="A289" s="67"/>
      <c r="B289" s="61"/>
      <c r="C289" s="43" t="s">
        <v>209</v>
      </c>
      <c r="D289" s="27"/>
      <c r="E289" s="27"/>
      <c r="F289" s="27"/>
      <c r="G289" s="27"/>
      <c r="H289" s="27"/>
      <c r="I289" s="27"/>
    </row>
    <row r="290" spans="1:9" x14ac:dyDescent="0.25">
      <c r="A290" s="67"/>
      <c r="B290" s="61"/>
      <c r="C290" s="43" t="s">
        <v>210</v>
      </c>
      <c r="D290" s="27"/>
      <c r="E290" s="27"/>
      <c r="F290" s="27"/>
      <c r="G290" s="27"/>
      <c r="H290" s="27"/>
      <c r="I290" s="27"/>
    </row>
    <row r="291" spans="1:9" x14ac:dyDescent="0.25">
      <c r="A291" s="67"/>
      <c r="B291" s="61"/>
      <c r="C291" s="43" t="s">
        <v>211</v>
      </c>
      <c r="D291" s="27"/>
      <c r="E291" s="27"/>
      <c r="F291" s="27"/>
      <c r="G291" s="27"/>
      <c r="H291" s="27"/>
      <c r="I291" s="27"/>
    </row>
    <row r="292" spans="1:9" x14ac:dyDescent="0.25">
      <c r="A292" s="67"/>
      <c r="B292" s="61"/>
      <c r="C292" s="43" t="s">
        <v>212</v>
      </c>
      <c r="D292" s="27"/>
      <c r="E292" s="27"/>
      <c r="F292" s="27"/>
      <c r="G292" s="27"/>
      <c r="H292" s="27"/>
      <c r="I292" s="27"/>
    </row>
    <row r="293" spans="1:9" x14ac:dyDescent="0.25">
      <c r="A293" s="67"/>
      <c r="B293" s="61"/>
      <c r="C293" s="43" t="s">
        <v>213</v>
      </c>
      <c r="D293" s="27">
        <f>'[1]Приложение 3'!H173</f>
        <v>8.6199999999999992</v>
      </c>
      <c r="E293" s="27">
        <f>'[1]Приложение 3'!I173</f>
        <v>0</v>
      </c>
      <c r="F293" s="27">
        <v>0</v>
      </c>
      <c r="G293" s="27">
        <f>'[1]Приложение 3'!K173</f>
        <v>0</v>
      </c>
      <c r="H293" s="27">
        <f>'[1]Приложение 3'!L173</f>
        <v>0</v>
      </c>
      <c r="I293" s="27">
        <f>SUM(D293:H293)</f>
        <v>8.6199999999999992</v>
      </c>
    </row>
    <row r="294" spans="1:9" x14ac:dyDescent="0.25">
      <c r="A294" s="67"/>
      <c r="B294" s="62"/>
      <c r="C294" s="43" t="s">
        <v>214</v>
      </c>
      <c r="D294" s="27"/>
      <c r="E294" s="27"/>
      <c r="F294" s="27"/>
      <c r="G294" s="27"/>
      <c r="H294" s="27"/>
      <c r="I294" s="27"/>
    </row>
    <row r="295" spans="1:9" ht="16.5" customHeight="1" x14ac:dyDescent="0.25">
      <c r="A295" s="67" t="s">
        <v>178</v>
      </c>
      <c r="B295" s="60" t="s">
        <v>179</v>
      </c>
      <c r="C295" s="43" t="s">
        <v>208</v>
      </c>
      <c r="D295" s="27">
        <f>SUM(D297:D301)</f>
        <v>0</v>
      </c>
      <c r="E295" s="27">
        <f>SUM(E297:E301)</f>
        <v>350.25</v>
      </c>
      <c r="F295" s="27">
        <f>SUM(F297:F301)</f>
        <v>0</v>
      </c>
      <c r="G295" s="27">
        <f>SUM(G297:G301)</f>
        <v>0</v>
      </c>
      <c r="H295" s="27">
        <f>SUM(H297:H301)</f>
        <v>0</v>
      </c>
      <c r="I295" s="27">
        <f>SUM(D295:H295)</f>
        <v>350.25</v>
      </c>
    </row>
    <row r="296" spans="1:9" x14ac:dyDescent="0.25">
      <c r="A296" s="67"/>
      <c r="B296" s="61"/>
      <c r="C296" s="43" t="s">
        <v>209</v>
      </c>
      <c r="D296" s="27"/>
      <c r="E296" s="27"/>
      <c r="F296" s="27"/>
      <c r="G296" s="27"/>
      <c r="H296" s="27"/>
      <c r="I296" s="27"/>
    </row>
    <row r="297" spans="1:9" x14ac:dyDescent="0.25">
      <c r="A297" s="67"/>
      <c r="B297" s="61"/>
      <c r="C297" s="43" t="s">
        <v>210</v>
      </c>
      <c r="D297" s="27"/>
      <c r="E297" s="27"/>
      <c r="F297" s="27"/>
      <c r="G297" s="27"/>
      <c r="H297" s="27"/>
      <c r="I297" s="27"/>
    </row>
    <row r="298" spans="1:9" x14ac:dyDescent="0.25">
      <c r="A298" s="67"/>
      <c r="B298" s="61"/>
      <c r="C298" s="43" t="s">
        <v>211</v>
      </c>
      <c r="D298" s="27"/>
      <c r="E298" s="27"/>
      <c r="F298" s="27"/>
      <c r="G298" s="27"/>
      <c r="H298" s="27"/>
      <c r="I298" s="27"/>
    </row>
    <row r="299" spans="1:9" x14ac:dyDescent="0.25">
      <c r="A299" s="67"/>
      <c r="B299" s="61"/>
      <c r="C299" s="43" t="s">
        <v>212</v>
      </c>
      <c r="D299" s="27"/>
      <c r="E299" s="27"/>
      <c r="F299" s="27"/>
      <c r="G299" s="27"/>
      <c r="H299" s="27"/>
      <c r="I299" s="27"/>
    </row>
    <row r="300" spans="1:9" x14ac:dyDescent="0.25">
      <c r="A300" s="67"/>
      <c r="B300" s="61"/>
      <c r="C300" s="43" t="s">
        <v>213</v>
      </c>
      <c r="D300" s="27">
        <f>'[1]Приложение 3'!H176</f>
        <v>0</v>
      </c>
      <c r="E300" s="27">
        <f>'[1]Приложение 3'!I176</f>
        <v>350.25</v>
      </c>
      <c r="F300" s="27">
        <f>'[1]Приложение 3'!J176</f>
        <v>0</v>
      </c>
      <c r="G300" s="27">
        <f>'[1]Приложение 3'!K176</f>
        <v>0</v>
      </c>
      <c r="H300" s="27">
        <f>'[1]Приложение 3'!L176</f>
        <v>0</v>
      </c>
      <c r="I300" s="27">
        <f>SUM(D300:H300)</f>
        <v>350.25</v>
      </c>
    </row>
    <row r="301" spans="1:9" x14ac:dyDescent="0.25">
      <c r="A301" s="67"/>
      <c r="B301" s="62"/>
      <c r="C301" s="43" t="s">
        <v>214</v>
      </c>
      <c r="D301" s="27"/>
      <c r="E301" s="27"/>
      <c r="F301" s="27"/>
      <c r="G301" s="27"/>
      <c r="H301" s="27"/>
      <c r="I301" s="27"/>
    </row>
    <row r="302" spans="1:9" ht="18" customHeight="1" x14ac:dyDescent="0.25">
      <c r="A302" s="60" t="s">
        <v>181</v>
      </c>
      <c r="B302" s="60" t="s">
        <v>222</v>
      </c>
      <c r="C302" s="43" t="s">
        <v>208</v>
      </c>
      <c r="D302" s="27">
        <f>SUM(D304:D308)</f>
        <v>0</v>
      </c>
      <c r="E302" s="27">
        <f>SUM(E304:E308)</f>
        <v>7900</v>
      </c>
      <c r="F302" s="27">
        <f>SUM(F304:F308)</f>
        <v>0</v>
      </c>
      <c r="G302" s="27">
        <f>SUM(G304:G308)</f>
        <v>0</v>
      </c>
      <c r="H302" s="27">
        <f>SUM(H304:H308)</f>
        <v>0</v>
      </c>
      <c r="I302" s="27">
        <f>SUM(D302:H302)</f>
        <v>7900</v>
      </c>
    </row>
    <row r="303" spans="1:9" x14ac:dyDescent="0.25">
      <c r="A303" s="61"/>
      <c r="B303" s="61"/>
      <c r="C303" s="43" t="s">
        <v>209</v>
      </c>
      <c r="D303" s="27"/>
      <c r="E303" s="27"/>
      <c r="F303" s="27"/>
      <c r="G303" s="27"/>
      <c r="H303" s="27"/>
      <c r="I303" s="27"/>
    </row>
    <row r="304" spans="1:9" x14ac:dyDescent="0.25">
      <c r="A304" s="61"/>
      <c r="B304" s="61"/>
      <c r="C304" s="43" t="s">
        <v>210</v>
      </c>
      <c r="D304" s="27"/>
      <c r="E304" s="27"/>
      <c r="F304" s="27"/>
      <c r="G304" s="27"/>
      <c r="H304" s="27"/>
      <c r="I304" s="27"/>
    </row>
    <row r="305" spans="1:9" x14ac:dyDescent="0.25">
      <c r="A305" s="61"/>
      <c r="B305" s="61"/>
      <c r="C305" s="43" t="s">
        <v>211</v>
      </c>
      <c r="D305" s="27">
        <f>'[1]Приложение 3'!H179</f>
        <v>0</v>
      </c>
      <c r="E305" s="27">
        <f>'[1]Приложение 3'!I179</f>
        <v>7900</v>
      </c>
      <c r="F305" s="27">
        <f>'[1]Приложение 3'!J179</f>
        <v>0</v>
      </c>
      <c r="G305" s="27">
        <f>'[1]Приложение 3'!K179</f>
        <v>0</v>
      </c>
      <c r="H305" s="27">
        <f>'[1]Приложение 3'!L179</f>
        <v>0</v>
      </c>
      <c r="I305" s="27">
        <f>SUM(D305:H305)</f>
        <v>7900</v>
      </c>
    </row>
    <row r="306" spans="1:9" x14ac:dyDescent="0.25">
      <c r="A306" s="61"/>
      <c r="B306" s="61"/>
      <c r="C306" s="43" t="s">
        <v>212</v>
      </c>
      <c r="D306" s="27"/>
      <c r="E306" s="27"/>
      <c r="F306" s="27"/>
      <c r="G306" s="27"/>
      <c r="H306" s="27"/>
      <c r="I306" s="27"/>
    </row>
    <row r="307" spans="1:9" ht="25.5" customHeight="1" x14ac:dyDescent="0.25">
      <c r="A307" s="61"/>
      <c r="B307" s="61"/>
      <c r="C307" s="43" t="s">
        <v>213</v>
      </c>
      <c r="D307" s="27"/>
      <c r="E307" s="27"/>
      <c r="F307" s="27"/>
      <c r="G307" s="27"/>
      <c r="H307" s="27"/>
      <c r="I307" s="27"/>
    </row>
    <row r="308" spans="1:9" ht="153" customHeight="1" x14ac:dyDescent="0.25">
      <c r="A308" s="62"/>
      <c r="B308" s="62"/>
      <c r="C308" s="43" t="s">
        <v>214</v>
      </c>
      <c r="D308" s="27"/>
      <c r="E308" s="27"/>
      <c r="F308" s="27"/>
      <c r="G308" s="27"/>
      <c r="H308" s="27"/>
      <c r="I308" s="27"/>
    </row>
    <row r="309" spans="1:9" x14ac:dyDescent="0.25">
      <c r="A309" s="67" t="s">
        <v>182</v>
      </c>
      <c r="B309" s="60" t="s">
        <v>183</v>
      </c>
      <c r="C309" s="43" t="s">
        <v>208</v>
      </c>
      <c r="D309" s="27">
        <f>SUM(D311:D315)</f>
        <v>0</v>
      </c>
      <c r="E309" s="27">
        <f>SUM(E311:E315)</f>
        <v>45</v>
      </c>
      <c r="F309" s="27">
        <f>SUM(F311:F315)</f>
        <v>0</v>
      </c>
      <c r="G309" s="27">
        <f>SUM(G311:G315)</f>
        <v>0</v>
      </c>
      <c r="H309" s="27">
        <f>SUM(H311:H315)</f>
        <v>0</v>
      </c>
      <c r="I309" s="27">
        <f>SUM(D309:H309)</f>
        <v>45</v>
      </c>
    </row>
    <row r="310" spans="1:9" x14ac:dyDescent="0.25">
      <c r="A310" s="67"/>
      <c r="B310" s="61"/>
      <c r="C310" s="43" t="s">
        <v>209</v>
      </c>
      <c r="D310" s="27"/>
      <c r="E310" s="27"/>
      <c r="F310" s="27"/>
      <c r="G310" s="27"/>
      <c r="H310" s="27"/>
      <c r="I310" s="27"/>
    </row>
    <row r="311" spans="1:9" x14ac:dyDescent="0.25">
      <c r="A311" s="67"/>
      <c r="B311" s="61"/>
      <c r="C311" s="43" t="s">
        <v>210</v>
      </c>
      <c r="D311" s="27"/>
      <c r="E311" s="27"/>
      <c r="F311" s="27"/>
      <c r="G311" s="27"/>
      <c r="H311" s="27"/>
      <c r="I311" s="27"/>
    </row>
    <row r="312" spans="1:9" x14ac:dyDescent="0.25">
      <c r="A312" s="67"/>
      <c r="B312" s="61"/>
      <c r="C312" s="43" t="s">
        <v>211</v>
      </c>
      <c r="D312" s="27"/>
      <c r="E312" s="27"/>
      <c r="F312" s="27"/>
      <c r="G312" s="27"/>
      <c r="H312" s="27"/>
      <c r="I312" s="27"/>
    </row>
    <row r="313" spans="1:9" x14ac:dyDescent="0.25">
      <c r="A313" s="67"/>
      <c r="B313" s="61"/>
      <c r="C313" s="43" t="s">
        <v>212</v>
      </c>
      <c r="D313" s="27"/>
      <c r="E313" s="27"/>
      <c r="F313" s="27"/>
      <c r="G313" s="27"/>
      <c r="H313" s="27"/>
      <c r="I313" s="27"/>
    </row>
    <row r="314" spans="1:9" x14ac:dyDescent="0.25">
      <c r="A314" s="67"/>
      <c r="B314" s="61"/>
      <c r="C314" s="43" t="s">
        <v>213</v>
      </c>
      <c r="D314" s="27">
        <f>'[1]Приложение 3'!H182</f>
        <v>0</v>
      </c>
      <c r="E314" s="27">
        <f>'[1]Приложение 3'!I182</f>
        <v>45</v>
      </c>
      <c r="F314" s="27">
        <f>'[1]Приложение 3'!J182</f>
        <v>0</v>
      </c>
      <c r="G314" s="27">
        <f>'[1]Приложение 3'!K182</f>
        <v>0</v>
      </c>
      <c r="H314" s="27">
        <f>'[1]Приложение 3'!L182</f>
        <v>0</v>
      </c>
      <c r="I314" s="27">
        <f>SUM(D314:H314)</f>
        <v>45</v>
      </c>
    </row>
    <row r="315" spans="1:9" x14ac:dyDescent="0.25">
      <c r="A315" s="67"/>
      <c r="B315" s="62"/>
      <c r="C315" s="43" t="s">
        <v>214</v>
      </c>
      <c r="D315" s="27"/>
      <c r="E315" s="27"/>
      <c r="F315" s="27"/>
      <c r="G315" s="27"/>
      <c r="H315" s="27"/>
      <c r="I315" s="27"/>
    </row>
    <row r="316" spans="1:9" x14ac:dyDescent="0.25">
      <c r="A316" s="67" t="s">
        <v>185</v>
      </c>
      <c r="B316" s="60" t="s">
        <v>186</v>
      </c>
      <c r="C316" s="43" t="s">
        <v>208</v>
      </c>
      <c r="D316" s="27">
        <f>SUM(D318:D322)</f>
        <v>0</v>
      </c>
      <c r="E316" s="27">
        <f>SUM(E318:E322)</f>
        <v>54.5</v>
      </c>
      <c r="F316" s="27">
        <f>SUM(F318:F322)</f>
        <v>0</v>
      </c>
      <c r="G316" s="27">
        <f>SUM(G318:G322)</f>
        <v>0</v>
      </c>
      <c r="H316" s="27">
        <f>SUM(H318:H322)</f>
        <v>0</v>
      </c>
      <c r="I316" s="27">
        <f>SUM(D316:H316)</f>
        <v>54.5</v>
      </c>
    </row>
    <row r="317" spans="1:9" x14ac:dyDescent="0.25">
      <c r="A317" s="67"/>
      <c r="B317" s="61"/>
      <c r="C317" s="43" t="s">
        <v>209</v>
      </c>
      <c r="D317" s="27"/>
      <c r="E317" s="27"/>
      <c r="F317" s="27"/>
      <c r="G317" s="27"/>
      <c r="H317" s="27"/>
      <c r="I317" s="27"/>
    </row>
    <row r="318" spans="1:9" x14ac:dyDescent="0.25">
      <c r="A318" s="67"/>
      <c r="B318" s="61"/>
      <c r="C318" s="43" t="s">
        <v>210</v>
      </c>
      <c r="D318" s="27"/>
      <c r="E318" s="27"/>
      <c r="F318" s="27"/>
      <c r="G318" s="27"/>
      <c r="H318" s="27"/>
      <c r="I318" s="27"/>
    </row>
    <row r="319" spans="1:9" x14ac:dyDescent="0.25">
      <c r="A319" s="67"/>
      <c r="B319" s="61"/>
      <c r="C319" s="43" t="s">
        <v>211</v>
      </c>
      <c r="D319" s="27"/>
      <c r="E319" s="27"/>
      <c r="F319" s="27"/>
      <c r="G319" s="27"/>
      <c r="H319" s="27"/>
      <c r="I319" s="27"/>
    </row>
    <row r="320" spans="1:9" x14ac:dyDescent="0.25">
      <c r="A320" s="67"/>
      <c r="B320" s="61"/>
      <c r="C320" s="43" t="s">
        <v>212</v>
      </c>
      <c r="D320" s="27"/>
      <c r="E320" s="27"/>
      <c r="F320" s="27"/>
      <c r="G320" s="27"/>
      <c r="H320" s="27"/>
      <c r="I320" s="27"/>
    </row>
    <row r="321" spans="1:9" x14ac:dyDescent="0.25">
      <c r="A321" s="67"/>
      <c r="B321" s="61"/>
      <c r="C321" s="43" t="s">
        <v>213</v>
      </c>
      <c r="D321" s="27">
        <f>'[1]Приложение 3'!H185</f>
        <v>0</v>
      </c>
      <c r="E321" s="27">
        <f>'[1]Приложение 3'!I185</f>
        <v>54.5</v>
      </c>
      <c r="F321" s="27">
        <f>'[1]Приложение 3'!J185</f>
        <v>0</v>
      </c>
      <c r="G321" s="27">
        <f>'[1]Приложение 3'!K185</f>
        <v>0</v>
      </c>
      <c r="H321" s="27">
        <f>'[1]Приложение 3'!L185</f>
        <v>0</v>
      </c>
      <c r="I321" s="27">
        <f>SUM(D321:H321)</f>
        <v>54.5</v>
      </c>
    </row>
    <row r="322" spans="1:9" ht="15" customHeight="1" x14ac:dyDescent="0.25">
      <c r="A322" s="67"/>
      <c r="B322" s="62"/>
      <c r="C322" s="43" t="s">
        <v>214</v>
      </c>
      <c r="D322" s="27"/>
      <c r="E322" s="27"/>
      <c r="F322" s="27"/>
      <c r="G322" s="27"/>
      <c r="H322" s="27"/>
      <c r="I322" s="27"/>
    </row>
    <row r="323" spans="1:9" ht="15" customHeight="1" x14ac:dyDescent="0.25">
      <c r="A323" s="67" t="s">
        <v>188</v>
      </c>
      <c r="B323" s="60" t="s">
        <v>189</v>
      </c>
      <c r="C323" s="43" t="s">
        <v>208</v>
      </c>
      <c r="D323" s="27">
        <f>SUM(D325:D329)</f>
        <v>0</v>
      </c>
      <c r="E323" s="27">
        <f>SUM(E325:E329)</f>
        <v>0</v>
      </c>
      <c r="F323" s="27">
        <f>SUM(F325:F329)</f>
        <v>2.9689999999999999</v>
      </c>
      <c r="G323" s="27">
        <f>SUM(G325:G329)</f>
        <v>0</v>
      </c>
      <c r="H323" s="27">
        <f>SUM(H325:H329)</f>
        <v>0</v>
      </c>
      <c r="I323" s="27">
        <f>SUM(D323:H323)</f>
        <v>2.9689999999999999</v>
      </c>
    </row>
    <row r="324" spans="1:9" ht="15" customHeight="1" x14ac:dyDescent="0.25">
      <c r="A324" s="67"/>
      <c r="B324" s="61"/>
      <c r="C324" s="43" t="s">
        <v>209</v>
      </c>
      <c r="D324" s="27"/>
      <c r="E324" s="27"/>
      <c r="F324" s="27"/>
      <c r="G324" s="27"/>
      <c r="H324" s="27"/>
      <c r="I324" s="27"/>
    </row>
    <row r="325" spans="1:9" ht="15" customHeight="1" x14ac:dyDescent="0.25">
      <c r="A325" s="67"/>
      <c r="B325" s="61"/>
      <c r="C325" s="43" t="s">
        <v>210</v>
      </c>
      <c r="D325" s="27"/>
      <c r="E325" s="27"/>
      <c r="F325" s="27"/>
      <c r="G325" s="27"/>
      <c r="H325" s="27"/>
      <c r="I325" s="27"/>
    </row>
    <row r="326" spans="1:9" ht="15" customHeight="1" x14ac:dyDescent="0.25">
      <c r="A326" s="67"/>
      <c r="B326" s="61"/>
      <c r="C326" s="43" t="s">
        <v>211</v>
      </c>
      <c r="D326" s="27"/>
      <c r="E326" s="27"/>
      <c r="F326" s="27"/>
      <c r="G326" s="27"/>
      <c r="H326" s="27"/>
      <c r="I326" s="27"/>
    </row>
    <row r="327" spans="1:9" ht="15" customHeight="1" x14ac:dyDescent="0.25">
      <c r="A327" s="67"/>
      <c r="B327" s="61"/>
      <c r="C327" s="43" t="s">
        <v>212</v>
      </c>
      <c r="D327" s="27"/>
      <c r="E327" s="27"/>
      <c r="F327" s="27"/>
      <c r="G327" s="27"/>
      <c r="H327" s="27"/>
      <c r="I327" s="27"/>
    </row>
    <row r="328" spans="1:9" ht="15" customHeight="1" x14ac:dyDescent="0.25">
      <c r="A328" s="67"/>
      <c r="B328" s="61"/>
      <c r="C328" s="43" t="s">
        <v>213</v>
      </c>
      <c r="D328" s="27">
        <f>'[1]Приложение 3'!H186</f>
        <v>0</v>
      </c>
      <c r="E328" s="27">
        <f>'[1]Приложение 3'!I186</f>
        <v>0</v>
      </c>
      <c r="F328" s="27">
        <f>'[1]Приложение 3'!J186</f>
        <v>2.9689999999999999</v>
      </c>
      <c r="G328" s="27">
        <f>'[1]Приложение 3'!K186</f>
        <v>0</v>
      </c>
      <c r="H328" s="27">
        <f>'[1]Приложение 3'!L186</f>
        <v>0</v>
      </c>
      <c r="I328" s="27">
        <f>SUM(D328:H328)</f>
        <v>2.9689999999999999</v>
      </c>
    </row>
    <row r="329" spans="1:9" ht="30" customHeight="1" x14ac:dyDescent="0.25">
      <c r="A329" s="67"/>
      <c r="B329" s="62"/>
      <c r="C329" s="43" t="s">
        <v>214</v>
      </c>
      <c r="D329" s="27"/>
      <c r="E329" s="27"/>
      <c r="F329" s="27"/>
      <c r="G329" s="27"/>
      <c r="H329" s="27"/>
      <c r="I329" s="27"/>
    </row>
    <row r="330" spans="1:9" ht="15" customHeight="1" x14ac:dyDescent="0.25">
      <c r="A330" s="79" t="s">
        <v>193</v>
      </c>
      <c r="B330" s="54" t="s">
        <v>194</v>
      </c>
      <c r="C330" s="44" t="s">
        <v>208</v>
      </c>
      <c r="D330" s="33">
        <f>SUM(D332:D336)</f>
        <v>0</v>
      </c>
      <c r="E330" s="33">
        <f>SUM(E332:E336)</f>
        <v>0</v>
      </c>
      <c r="F330" s="33">
        <f>SUM(F332:F336)</f>
        <v>195.5</v>
      </c>
      <c r="G330" s="33">
        <f>SUM(G332:G336)</f>
        <v>0</v>
      </c>
      <c r="H330" s="33">
        <f>SUM(H332:H336)</f>
        <v>0</v>
      </c>
      <c r="I330" s="33">
        <f>SUM(D330:H330)</f>
        <v>195.5</v>
      </c>
    </row>
    <row r="331" spans="1:9" ht="15" customHeight="1" x14ac:dyDescent="0.25">
      <c r="A331" s="79"/>
      <c r="B331" s="55"/>
      <c r="C331" s="44" t="s">
        <v>209</v>
      </c>
      <c r="D331" s="33"/>
      <c r="E331" s="33"/>
      <c r="F331" s="33"/>
      <c r="G331" s="33"/>
      <c r="H331" s="33"/>
      <c r="I331" s="33"/>
    </row>
    <row r="332" spans="1:9" ht="15" customHeight="1" x14ac:dyDescent="0.25">
      <c r="A332" s="79"/>
      <c r="B332" s="55"/>
      <c r="C332" s="44" t="s">
        <v>210</v>
      </c>
      <c r="D332" s="33"/>
      <c r="E332" s="33"/>
      <c r="F332" s="33"/>
      <c r="G332" s="33"/>
      <c r="H332" s="33"/>
      <c r="I332" s="33"/>
    </row>
    <row r="333" spans="1:9" ht="15" customHeight="1" x14ac:dyDescent="0.25">
      <c r="A333" s="79"/>
      <c r="B333" s="55"/>
      <c r="C333" s="44" t="s">
        <v>211</v>
      </c>
      <c r="D333" s="33"/>
      <c r="E333" s="33"/>
      <c r="F333" s="33"/>
      <c r="G333" s="33"/>
      <c r="H333" s="33"/>
      <c r="I333" s="33"/>
    </row>
    <row r="334" spans="1:9" ht="26.25" customHeight="1" x14ac:dyDescent="0.25">
      <c r="A334" s="79"/>
      <c r="B334" s="55"/>
      <c r="C334" s="44" t="s">
        <v>212</v>
      </c>
      <c r="D334" s="33"/>
      <c r="E334" s="33"/>
      <c r="F334" s="33"/>
      <c r="G334" s="33"/>
      <c r="H334" s="33"/>
      <c r="I334" s="33"/>
    </row>
    <row r="335" spans="1:9" ht="15" customHeight="1" x14ac:dyDescent="0.25">
      <c r="A335" s="79"/>
      <c r="B335" s="55"/>
      <c r="C335" s="44" t="s">
        <v>213</v>
      </c>
      <c r="D335" s="33">
        <f>D342</f>
        <v>0</v>
      </c>
      <c r="E335" s="33">
        <f>E342</f>
        <v>0</v>
      </c>
      <c r="F335" s="33">
        <f>F342</f>
        <v>195.5</v>
      </c>
      <c r="G335" s="33">
        <f>G342</f>
        <v>0</v>
      </c>
      <c r="H335" s="33">
        <f>H342</f>
        <v>0</v>
      </c>
      <c r="I335" s="33">
        <f>SUM(D335:H335)</f>
        <v>195.5</v>
      </c>
    </row>
    <row r="336" spans="1:9" ht="15" customHeight="1" x14ac:dyDescent="0.25">
      <c r="A336" s="79"/>
      <c r="B336" s="56"/>
      <c r="C336" s="44" t="s">
        <v>214</v>
      </c>
      <c r="D336" s="33"/>
      <c r="E336" s="33"/>
      <c r="F336" s="33"/>
      <c r="G336" s="33"/>
      <c r="H336" s="33"/>
      <c r="I336" s="33"/>
    </row>
    <row r="337" spans="1:9" ht="15" customHeight="1" x14ac:dyDescent="0.25">
      <c r="A337" s="67" t="s">
        <v>195</v>
      </c>
      <c r="B337" s="60" t="s">
        <v>196</v>
      </c>
      <c r="C337" s="43" t="s">
        <v>208</v>
      </c>
      <c r="D337" s="27">
        <f>SUM(D339:D343)</f>
        <v>0</v>
      </c>
      <c r="E337" s="27">
        <f>SUM(E339:E343)</f>
        <v>0</v>
      </c>
      <c r="F337" s="27">
        <f>SUM(F339:F343)</f>
        <v>195.5</v>
      </c>
      <c r="G337" s="27">
        <f>SUM(G339:G343)</f>
        <v>0</v>
      </c>
      <c r="H337" s="27">
        <f>SUM(H339:H343)</f>
        <v>0</v>
      </c>
      <c r="I337" s="27">
        <f>SUM(D337:H337)</f>
        <v>195.5</v>
      </c>
    </row>
    <row r="338" spans="1:9" ht="32.25" customHeight="1" x14ac:dyDescent="0.25">
      <c r="A338" s="67"/>
      <c r="B338" s="61"/>
      <c r="C338" s="43" t="s">
        <v>209</v>
      </c>
      <c r="D338" s="27"/>
      <c r="E338" s="27"/>
      <c r="F338" s="27"/>
      <c r="G338" s="27"/>
      <c r="H338" s="27"/>
      <c r="I338" s="27"/>
    </row>
    <row r="339" spans="1:9" ht="27.75" customHeight="1" x14ac:dyDescent="0.25">
      <c r="A339" s="67"/>
      <c r="B339" s="61"/>
      <c r="C339" s="43" t="s">
        <v>210</v>
      </c>
      <c r="D339" s="27"/>
      <c r="E339" s="27"/>
      <c r="F339" s="27"/>
      <c r="G339" s="27"/>
      <c r="H339" s="27"/>
      <c r="I339" s="27"/>
    </row>
    <row r="340" spans="1:9" ht="28.5" customHeight="1" x14ac:dyDescent="0.25">
      <c r="A340" s="67"/>
      <c r="B340" s="61"/>
      <c r="C340" s="43" t="s">
        <v>211</v>
      </c>
      <c r="D340" s="27"/>
      <c r="E340" s="27"/>
      <c r="F340" s="27"/>
      <c r="G340" s="27"/>
      <c r="H340" s="27"/>
      <c r="I340" s="27"/>
    </row>
    <row r="341" spans="1:9" ht="28.5" customHeight="1" x14ac:dyDescent="0.25">
      <c r="A341" s="67"/>
      <c r="B341" s="61"/>
      <c r="C341" s="43" t="s">
        <v>212</v>
      </c>
      <c r="D341" s="27"/>
      <c r="E341" s="27"/>
      <c r="F341" s="27"/>
      <c r="G341" s="27"/>
      <c r="H341" s="27"/>
      <c r="I341" s="27"/>
    </row>
    <row r="342" spans="1:9" ht="31.5" customHeight="1" x14ac:dyDescent="0.25">
      <c r="A342" s="67"/>
      <c r="B342" s="61"/>
      <c r="C342" s="43" t="s">
        <v>213</v>
      </c>
      <c r="D342" s="27">
        <f>'[1]Приложение 3'!H195</f>
        <v>0</v>
      </c>
      <c r="E342" s="27">
        <f>'[1]Приложение 3'!I195</f>
        <v>0</v>
      </c>
      <c r="F342" s="27">
        <f>'[1]Приложение 3'!J195</f>
        <v>195.5</v>
      </c>
      <c r="G342" s="27">
        <f>'[1]Приложение 3'!K195</f>
        <v>0</v>
      </c>
      <c r="H342" s="27">
        <f>'[1]Приложение 3'!L195</f>
        <v>0</v>
      </c>
      <c r="I342" s="27">
        <f>SUM(D342:H342)</f>
        <v>195.5</v>
      </c>
    </row>
    <row r="343" spans="1:9" ht="30.75" customHeight="1" x14ac:dyDescent="0.25">
      <c r="A343" s="67"/>
      <c r="B343" s="62"/>
      <c r="C343" s="43" t="s">
        <v>214</v>
      </c>
      <c r="D343" s="27"/>
      <c r="E343" s="27"/>
      <c r="F343" s="27"/>
      <c r="G343" s="27"/>
      <c r="H343" s="27"/>
      <c r="I343" s="27"/>
    </row>
    <row r="345" spans="1:9" s="39" customFormat="1" x14ac:dyDescent="0.25">
      <c r="A345" s="38" t="s">
        <v>199</v>
      </c>
      <c r="D345" s="46"/>
      <c r="E345" s="46"/>
      <c r="F345" s="46"/>
      <c r="G345" s="46"/>
      <c r="H345" s="46"/>
      <c r="I345" s="46" t="s">
        <v>200</v>
      </c>
    </row>
  </sheetData>
  <mergeCells count="103">
    <mergeCell ref="A323:A329"/>
    <mergeCell ref="B323:B329"/>
    <mergeCell ref="A330:A336"/>
    <mergeCell ref="B330:B336"/>
    <mergeCell ref="A337:A343"/>
    <mergeCell ref="B337:B343"/>
    <mergeCell ref="A302:A308"/>
    <mergeCell ref="B302:B308"/>
    <mergeCell ref="A309:A315"/>
    <mergeCell ref="B309:B315"/>
    <mergeCell ref="A316:A322"/>
    <mergeCell ref="B316:B322"/>
    <mergeCell ref="A281:A287"/>
    <mergeCell ref="B281:B287"/>
    <mergeCell ref="A288:A294"/>
    <mergeCell ref="B288:B294"/>
    <mergeCell ref="A295:A301"/>
    <mergeCell ref="B295:B301"/>
    <mergeCell ref="A260:A266"/>
    <mergeCell ref="B260:B266"/>
    <mergeCell ref="A267:A273"/>
    <mergeCell ref="B267:B273"/>
    <mergeCell ref="A274:A280"/>
    <mergeCell ref="B274:B280"/>
    <mergeCell ref="A239:A245"/>
    <mergeCell ref="B239:B245"/>
    <mergeCell ref="A246:A252"/>
    <mergeCell ref="B246:B252"/>
    <mergeCell ref="A253:A259"/>
    <mergeCell ref="B253:B259"/>
    <mergeCell ref="A218:A224"/>
    <mergeCell ref="B218:B224"/>
    <mergeCell ref="A225:A231"/>
    <mergeCell ref="B225:B231"/>
    <mergeCell ref="A232:A238"/>
    <mergeCell ref="B232:B238"/>
    <mergeCell ref="A197:A203"/>
    <mergeCell ref="B197:B203"/>
    <mergeCell ref="A204:A210"/>
    <mergeCell ref="B204:B210"/>
    <mergeCell ref="A211:A217"/>
    <mergeCell ref="B211:B217"/>
    <mergeCell ref="A176:A182"/>
    <mergeCell ref="B176:B182"/>
    <mergeCell ref="A183:A189"/>
    <mergeCell ref="B183:B189"/>
    <mergeCell ref="A190:A196"/>
    <mergeCell ref="B190:B196"/>
    <mergeCell ref="A155:A161"/>
    <mergeCell ref="B155:B161"/>
    <mergeCell ref="A162:A168"/>
    <mergeCell ref="B162:B168"/>
    <mergeCell ref="A169:A175"/>
    <mergeCell ref="B169:B175"/>
    <mergeCell ref="A134:A140"/>
    <mergeCell ref="B134:B140"/>
    <mergeCell ref="A141:A147"/>
    <mergeCell ref="B141:B147"/>
    <mergeCell ref="A148:A154"/>
    <mergeCell ref="B148:B154"/>
    <mergeCell ref="A113:A119"/>
    <mergeCell ref="B113:B119"/>
    <mergeCell ref="A120:A126"/>
    <mergeCell ref="B120:B126"/>
    <mergeCell ref="A127:A133"/>
    <mergeCell ref="B127:B133"/>
    <mergeCell ref="A92:A98"/>
    <mergeCell ref="B92:B98"/>
    <mergeCell ref="A99:A105"/>
    <mergeCell ref="B99:B105"/>
    <mergeCell ref="A106:A112"/>
    <mergeCell ref="B106:B112"/>
    <mergeCell ref="A71:A77"/>
    <mergeCell ref="B71:B77"/>
    <mergeCell ref="A78:A84"/>
    <mergeCell ref="B78:B84"/>
    <mergeCell ref="A85:A91"/>
    <mergeCell ref="B85:B91"/>
    <mergeCell ref="A50:A56"/>
    <mergeCell ref="B50:B56"/>
    <mergeCell ref="A57:A63"/>
    <mergeCell ref="B57:B63"/>
    <mergeCell ref="A64:A70"/>
    <mergeCell ref="B64:B70"/>
    <mergeCell ref="A36:A42"/>
    <mergeCell ref="B36:B42"/>
    <mergeCell ref="A43:A49"/>
    <mergeCell ref="B43:B49"/>
    <mergeCell ref="A8:A14"/>
    <mergeCell ref="B8:B14"/>
    <mergeCell ref="A15:A21"/>
    <mergeCell ref="B15:B21"/>
    <mergeCell ref="A22:A28"/>
    <mergeCell ref="B22:B28"/>
    <mergeCell ref="E1:I1"/>
    <mergeCell ref="E2:I2"/>
    <mergeCell ref="A4:I4"/>
    <mergeCell ref="A6:A7"/>
    <mergeCell ref="B6:B7"/>
    <mergeCell ref="C6:C7"/>
    <mergeCell ref="D6:I6"/>
    <mergeCell ref="A29:A35"/>
    <mergeCell ref="B29:B35"/>
  </mergeCells>
  <pageMargins left="0.15748031496062992" right="0" top="0.39370078740157483" bottom="0.39370078740157483" header="0.31496062992125984" footer="0.31496062992125984"/>
  <pageSetup paperSize="9" scale="83" fitToHeight="0" orientation="landscape" r:id="rId1"/>
  <rowBreaks count="9" manualBreakCount="9">
    <brk id="28" max="8" man="1"/>
    <brk id="56" max="8" man="1"/>
    <brk id="91" max="8" man="1"/>
    <brk id="126" max="8" man="1"/>
    <brk id="161" max="8" man="1"/>
    <brk id="182" max="8" man="1"/>
    <brk id="210" max="8" man="1"/>
    <brk id="287" max="8" man="1"/>
    <brk id="31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view="pageBreakPreview" zoomScale="60" zoomScaleNormal="82" workbookViewId="0">
      <selection activeCell="Q6" sqref="Q6"/>
    </sheetView>
  </sheetViews>
  <sheetFormatPr defaultRowHeight="15" x14ac:dyDescent="0.25"/>
  <cols>
    <col min="1" max="1" width="50.5703125" style="2" customWidth="1"/>
    <col min="2" max="2" width="21" style="1" customWidth="1"/>
    <col min="3" max="4" width="11.7109375" style="3" customWidth="1"/>
    <col min="5" max="5" width="13.42578125" style="3" customWidth="1"/>
    <col min="6" max="6" width="9.28515625" style="3" customWidth="1"/>
    <col min="7" max="7" width="11.28515625" style="12" customWidth="1"/>
    <col min="8" max="8" width="10.85546875" style="12" customWidth="1"/>
    <col min="9" max="11" width="11.42578125" style="12" customWidth="1"/>
    <col min="12" max="12" width="16" style="12" customWidth="1"/>
    <col min="13" max="13" width="33.85546875" style="1" customWidth="1"/>
    <col min="14" max="14" width="14.28515625" style="1" customWidth="1"/>
    <col min="15" max="17" width="9.5703125" style="1" bestFit="1" customWidth="1"/>
    <col min="18" max="18" width="10.7109375" style="1" bestFit="1" customWidth="1"/>
    <col min="19" max="256" width="9.140625" style="1"/>
    <col min="257" max="257" width="50.5703125" style="1" customWidth="1"/>
    <col min="258" max="258" width="21" style="1" customWidth="1"/>
    <col min="259" max="260" width="11.7109375" style="1" customWidth="1"/>
    <col min="261" max="261" width="13.42578125" style="1" customWidth="1"/>
    <col min="262" max="262" width="9.28515625" style="1" customWidth="1"/>
    <col min="263" max="263" width="11.28515625" style="1" customWidth="1"/>
    <col min="264" max="264" width="10.85546875" style="1" customWidth="1"/>
    <col min="265" max="267" width="11.42578125" style="1" customWidth="1"/>
    <col min="268" max="268" width="16" style="1" customWidth="1"/>
    <col min="269" max="269" width="33.85546875" style="1" customWidth="1"/>
    <col min="270" max="270" width="14.28515625" style="1" customWidth="1"/>
    <col min="271" max="273" width="9.5703125" style="1" bestFit="1" customWidth="1"/>
    <col min="274" max="274" width="10.7109375" style="1" bestFit="1" customWidth="1"/>
    <col min="275" max="512" width="9.140625" style="1"/>
    <col min="513" max="513" width="50.5703125" style="1" customWidth="1"/>
    <col min="514" max="514" width="21" style="1" customWidth="1"/>
    <col min="515" max="516" width="11.7109375" style="1" customWidth="1"/>
    <col min="517" max="517" width="13.42578125" style="1" customWidth="1"/>
    <col min="518" max="518" width="9.28515625" style="1" customWidth="1"/>
    <col min="519" max="519" width="11.28515625" style="1" customWidth="1"/>
    <col min="520" max="520" width="10.85546875" style="1" customWidth="1"/>
    <col min="521" max="523" width="11.42578125" style="1" customWidth="1"/>
    <col min="524" max="524" width="16" style="1" customWidth="1"/>
    <col min="525" max="525" width="33.85546875" style="1" customWidth="1"/>
    <col min="526" max="526" width="14.28515625" style="1" customWidth="1"/>
    <col min="527" max="529" width="9.5703125" style="1" bestFit="1" customWidth="1"/>
    <col min="530" max="530" width="10.7109375" style="1" bestFit="1" customWidth="1"/>
    <col min="531" max="768" width="9.140625" style="1"/>
    <col min="769" max="769" width="50.5703125" style="1" customWidth="1"/>
    <col min="770" max="770" width="21" style="1" customWidth="1"/>
    <col min="771" max="772" width="11.7109375" style="1" customWidth="1"/>
    <col min="773" max="773" width="13.42578125" style="1" customWidth="1"/>
    <col min="774" max="774" width="9.28515625" style="1" customWidth="1"/>
    <col min="775" max="775" width="11.28515625" style="1" customWidth="1"/>
    <col min="776" max="776" width="10.85546875" style="1" customWidth="1"/>
    <col min="777" max="779" width="11.42578125" style="1" customWidth="1"/>
    <col min="780" max="780" width="16" style="1" customWidth="1"/>
    <col min="781" max="781" width="33.85546875" style="1" customWidth="1"/>
    <col min="782" max="782" width="14.28515625" style="1" customWidth="1"/>
    <col min="783" max="785" width="9.5703125" style="1" bestFit="1" customWidth="1"/>
    <col min="786" max="786" width="10.7109375" style="1" bestFit="1" customWidth="1"/>
    <col min="787" max="1024" width="9.140625" style="1"/>
    <col min="1025" max="1025" width="50.5703125" style="1" customWidth="1"/>
    <col min="1026" max="1026" width="21" style="1" customWidth="1"/>
    <col min="1027" max="1028" width="11.7109375" style="1" customWidth="1"/>
    <col min="1029" max="1029" width="13.42578125" style="1" customWidth="1"/>
    <col min="1030" max="1030" width="9.28515625" style="1" customWidth="1"/>
    <col min="1031" max="1031" width="11.28515625" style="1" customWidth="1"/>
    <col min="1032" max="1032" width="10.85546875" style="1" customWidth="1"/>
    <col min="1033" max="1035" width="11.42578125" style="1" customWidth="1"/>
    <col min="1036" max="1036" width="16" style="1" customWidth="1"/>
    <col min="1037" max="1037" width="33.85546875" style="1" customWidth="1"/>
    <col min="1038" max="1038" width="14.28515625" style="1" customWidth="1"/>
    <col min="1039" max="1041" width="9.5703125" style="1" bestFit="1" customWidth="1"/>
    <col min="1042" max="1042" width="10.7109375" style="1" bestFit="1" customWidth="1"/>
    <col min="1043" max="1280" width="9.140625" style="1"/>
    <col min="1281" max="1281" width="50.5703125" style="1" customWidth="1"/>
    <col min="1282" max="1282" width="21" style="1" customWidth="1"/>
    <col min="1283" max="1284" width="11.7109375" style="1" customWidth="1"/>
    <col min="1285" max="1285" width="13.42578125" style="1" customWidth="1"/>
    <col min="1286" max="1286" width="9.28515625" style="1" customWidth="1"/>
    <col min="1287" max="1287" width="11.28515625" style="1" customWidth="1"/>
    <col min="1288" max="1288" width="10.85546875" style="1" customWidth="1"/>
    <col min="1289" max="1291" width="11.42578125" style="1" customWidth="1"/>
    <col min="1292" max="1292" width="16" style="1" customWidth="1"/>
    <col min="1293" max="1293" width="33.85546875" style="1" customWidth="1"/>
    <col min="1294" max="1294" width="14.28515625" style="1" customWidth="1"/>
    <col min="1295" max="1297" width="9.5703125" style="1" bestFit="1" customWidth="1"/>
    <col min="1298" max="1298" width="10.7109375" style="1" bestFit="1" customWidth="1"/>
    <col min="1299" max="1536" width="9.140625" style="1"/>
    <col min="1537" max="1537" width="50.5703125" style="1" customWidth="1"/>
    <col min="1538" max="1538" width="21" style="1" customWidth="1"/>
    <col min="1539" max="1540" width="11.7109375" style="1" customWidth="1"/>
    <col min="1541" max="1541" width="13.42578125" style="1" customWidth="1"/>
    <col min="1542" max="1542" width="9.28515625" style="1" customWidth="1"/>
    <col min="1543" max="1543" width="11.28515625" style="1" customWidth="1"/>
    <col min="1544" max="1544" width="10.85546875" style="1" customWidth="1"/>
    <col min="1545" max="1547" width="11.42578125" style="1" customWidth="1"/>
    <col min="1548" max="1548" width="16" style="1" customWidth="1"/>
    <col min="1549" max="1549" width="33.85546875" style="1" customWidth="1"/>
    <col min="1550" max="1550" width="14.28515625" style="1" customWidth="1"/>
    <col min="1551" max="1553" width="9.5703125" style="1" bestFit="1" customWidth="1"/>
    <col min="1554" max="1554" width="10.7109375" style="1" bestFit="1" customWidth="1"/>
    <col min="1555" max="1792" width="9.140625" style="1"/>
    <col min="1793" max="1793" width="50.5703125" style="1" customWidth="1"/>
    <col min="1794" max="1794" width="21" style="1" customWidth="1"/>
    <col min="1795" max="1796" width="11.7109375" style="1" customWidth="1"/>
    <col min="1797" max="1797" width="13.42578125" style="1" customWidth="1"/>
    <col min="1798" max="1798" width="9.28515625" style="1" customWidth="1"/>
    <col min="1799" max="1799" width="11.28515625" style="1" customWidth="1"/>
    <col min="1800" max="1800" width="10.85546875" style="1" customWidth="1"/>
    <col min="1801" max="1803" width="11.42578125" style="1" customWidth="1"/>
    <col min="1804" max="1804" width="16" style="1" customWidth="1"/>
    <col min="1805" max="1805" width="33.85546875" style="1" customWidth="1"/>
    <col min="1806" max="1806" width="14.28515625" style="1" customWidth="1"/>
    <col min="1807" max="1809" width="9.5703125" style="1" bestFit="1" customWidth="1"/>
    <col min="1810" max="1810" width="10.7109375" style="1" bestFit="1" customWidth="1"/>
    <col min="1811" max="2048" width="9.140625" style="1"/>
    <col min="2049" max="2049" width="50.5703125" style="1" customWidth="1"/>
    <col min="2050" max="2050" width="21" style="1" customWidth="1"/>
    <col min="2051" max="2052" width="11.7109375" style="1" customWidth="1"/>
    <col min="2053" max="2053" width="13.42578125" style="1" customWidth="1"/>
    <col min="2054" max="2054" width="9.28515625" style="1" customWidth="1"/>
    <col min="2055" max="2055" width="11.28515625" style="1" customWidth="1"/>
    <col min="2056" max="2056" width="10.85546875" style="1" customWidth="1"/>
    <col min="2057" max="2059" width="11.42578125" style="1" customWidth="1"/>
    <col min="2060" max="2060" width="16" style="1" customWidth="1"/>
    <col min="2061" max="2061" width="33.85546875" style="1" customWidth="1"/>
    <col min="2062" max="2062" width="14.28515625" style="1" customWidth="1"/>
    <col min="2063" max="2065" width="9.5703125" style="1" bestFit="1" customWidth="1"/>
    <col min="2066" max="2066" width="10.7109375" style="1" bestFit="1" customWidth="1"/>
    <col min="2067" max="2304" width="9.140625" style="1"/>
    <col min="2305" max="2305" width="50.5703125" style="1" customWidth="1"/>
    <col min="2306" max="2306" width="21" style="1" customWidth="1"/>
    <col min="2307" max="2308" width="11.7109375" style="1" customWidth="1"/>
    <col min="2309" max="2309" width="13.42578125" style="1" customWidth="1"/>
    <col min="2310" max="2310" width="9.28515625" style="1" customWidth="1"/>
    <col min="2311" max="2311" width="11.28515625" style="1" customWidth="1"/>
    <col min="2312" max="2312" width="10.85546875" style="1" customWidth="1"/>
    <col min="2313" max="2315" width="11.42578125" style="1" customWidth="1"/>
    <col min="2316" max="2316" width="16" style="1" customWidth="1"/>
    <col min="2317" max="2317" width="33.85546875" style="1" customWidth="1"/>
    <col min="2318" max="2318" width="14.28515625" style="1" customWidth="1"/>
    <col min="2319" max="2321" width="9.5703125" style="1" bestFit="1" customWidth="1"/>
    <col min="2322" max="2322" width="10.7109375" style="1" bestFit="1" customWidth="1"/>
    <col min="2323" max="2560" width="9.140625" style="1"/>
    <col min="2561" max="2561" width="50.5703125" style="1" customWidth="1"/>
    <col min="2562" max="2562" width="21" style="1" customWidth="1"/>
    <col min="2563" max="2564" width="11.7109375" style="1" customWidth="1"/>
    <col min="2565" max="2565" width="13.42578125" style="1" customWidth="1"/>
    <col min="2566" max="2566" width="9.28515625" style="1" customWidth="1"/>
    <col min="2567" max="2567" width="11.28515625" style="1" customWidth="1"/>
    <col min="2568" max="2568" width="10.85546875" style="1" customWidth="1"/>
    <col min="2569" max="2571" width="11.42578125" style="1" customWidth="1"/>
    <col min="2572" max="2572" width="16" style="1" customWidth="1"/>
    <col min="2573" max="2573" width="33.85546875" style="1" customWidth="1"/>
    <col min="2574" max="2574" width="14.28515625" style="1" customWidth="1"/>
    <col min="2575" max="2577" width="9.5703125" style="1" bestFit="1" customWidth="1"/>
    <col min="2578" max="2578" width="10.7109375" style="1" bestFit="1" customWidth="1"/>
    <col min="2579" max="2816" width="9.140625" style="1"/>
    <col min="2817" max="2817" width="50.5703125" style="1" customWidth="1"/>
    <col min="2818" max="2818" width="21" style="1" customWidth="1"/>
    <col min="2819" max="2820" width="11.7109375" style="1" customWidth="1"/>
    <col min="2821" max="2821" width="13.42578125" style="1" customWidth="1"/>
    <col min="2822" max="2822" width="9.28515625" style="1" customWidth="1"/>
    <col min="2823" max="2823" width="11.28515625" style="1" customWidth="1"/>
    <col min="2824" max="2824" width="10.85546875" style="1" customWidth="1"/>
    <col min="2825" max="2827" width="11.42578125" style="1" customWidth="1"/>
    <col min="2828" max="2828" width="16" style="1" customWidth="1"/>
    <col min="2829" max="2829" width="33.85546875" style="1" customWidth="1"/>
    <col min="2830" max="2830" width="14.28515625" style="1" customWidth="1"/>
    <col min="2831" max="2833" width="9.5703125" style="1" bestFit="1" customWidth="1"/>
    <col min="2834" max="2834" width="10.7109375" style="1" bestFit="1" customWidth="1"/>
    <col min="2835" max="3072" width="9.140625" style="1"/>
    <col min="3073" max="3073" width="50.5703125" style="1" customWidth="1"/>
    <col min="3074" max="3074" width="21" style="1" customWidth="1"/>
    <col min="3075" max="3076" width="11.7109375" style="1" customWidth="1"/>
    <col min="3077" max="3077" width="13.42578125" style="1" customWidth="1"/>
    <col min="3078" max="3078" width="9.28515625" style="1" customWidth="1"/>
    <col min="3079" max="3079" width="11.28515625" style="1" customWidth="1"/>
    <col min="3080" max="3080" width="10.85546875" style="1" customWidth="1"/>
    <col min="3081" max="3083" width="11.42578125" style="1" customWidth="1"/>
    <col min="3084" max="3084" width="16" style="1" customWidth="1"/>
    <col min="3085" max="3085" width="33.85546875" style="1" customWidth="1"/>
    <col min="3086" max="3086" width="14.28515625" style="1" customWidth="1"/>
    <col min="3087" max="3089" width="9.5703125" style="1" bestFit="1" customWidth="1"/>
    <col min="3090" max="3090" width="10.7109375" style="1" bestFit="1" customWidth="1"/>
    <col min="3091" max="3328" width="9.140625" style="1"/>
    <col min="3329" max="3329" width="50.5703125" style="1" customWidth="1"/>
    <col min="3330" max="3330" width="21" style="1" customWidth="1"/>
    <col min="3331" max="3332" width="11.7109375" style="1" customWidth="1"/>
    <col min="3333" max="3333" width="13.42578125" style="1" customWidth="1"/>
    <col min="3334" max="3334" width="9.28515625" style="1" customWidth="1"/>
    <col min="3335" max="3335" width="11.28515625" style="1" customWidth="1"/>
    <col min="3336" max="3336" width="10.85546875" style="1" customWidth="1"/>
    <col min="3337" max="3339" width="11.42578125" style="1" customWidth="1"/>
    <col min="3340" max="3340" width="16" style="1" customWidth="1"/>
    <col min="3341" max="3341" width="33.85546875" style="1" customWidth="1"/>
    <col min="3342" max="3342" width="14.28515625" style="1" customWidth="1"/>
    <col min="3343" max="3345" width="9.5703125" style="1" bestFit="1" customWidth="1"/>
    <col min="3346" max="3346" width="10.7109375" style="1" bestFit="1" customWidth="1"/>
    <col min="3347" max="3584" width="9.140625" style="1"/>
    <col min="3585" max="3585" width="50.5703125" style="1" customWidth="1"/>
    <col min="3586" max="3586" width="21" style="1" customWidth="1"/>
    <col min="3587" max="3588" width="11.7109375" style="1" customWidth="1"/>
    <col min="3589" max="3589" width="13.42578125" style="1" customWidth="1"/>
    <col min="3590" max="3590" width="9.28515625" style="1" customWidth="1"/>
    <col min="3591" max="3591" width="11.28515625" style="1" customWidth="1"/>
    <col min="3592" max="3592" width="10.85546875" style="1" customWidth="1"/>
    <col min="3593" max="3595" width="11.42578125" style="1" customWidth="1"/>
    <col min="3596" max="3596" width="16" style="1" customWidth="1"/>
    <col min="3597" max="3597" width="33.85546875" style="1" customWidth="1"/>
    <col min="3598" max="3598" width="14.28515625" style="1" customWidth="1"/>
    <col min="3599" max="3601" width="9.5703125" style="1" bestFit="1" customWidth="1"/>
    <col min="3602" max="3602" width="10.7109375" style="1" bestFit="1" customWidth="1"/>
    <col min="3603" max="3840" width="9.140625" style="1"/>
    <col min="3841" max="3841" width="50.5703125" style="1" customWidth="1"/>
    <col min="3842" max="3842" width="21" style="1" customWidth="1"/>
    <col min="3843" max="3844" width="11.7109375" style="1" customWidth="1"/>
    <col min="3845" max="3845" width="13.42578125" style="1" customWidth="1"/>
    <col min="3846" max="3846" width="9.28515625" style="1" customWidth="1"/>
    <col min="3847" max="3847" width="11.28515625" style="1" customWidth="1"/>
    <col min="3848" max="3848" width="10.85546875" style="1" customWidth="1"/>
    <col min="3849" max="3851" width="11.42578125" style="1" customWidth="1"/>
    <col min="3852" max="3852" width="16" style="1" customWidth="1"/>
    <col min="3853" max="3853" width="33.85546875" style="1" customWidth="1"/>
    <col min="3854" max="3854" width="14.28515625" style="1" customWidth="1"/>
    <col min="3855" max="3857" width="9.5703125" style="1" bestFit="1" customWidth="1"/>
    <col min="3858" max="3858" width="10.7109375" style="1" bestFit="1" customWidth="1"/>
    <col min="3859" max="4096" width="9.140625" style="1"/>
    <col min="4097" max="4097" width="50.5703125" style="1" customWidth="1"/>
    <col min="4098" max="4098" width="21" style="1" customWidth="1"/>
    <col min="4099" max="4100" width="11.7109375" style="1" customWidth="1"/>
    <col min="4101" max="4101" width="13.42578125" style="1" customWidth="1"/>
    <col min="4102" max="4102" width="9.28515625" style="1" customWidth="1"/>
    <col min="4103" max="4103" width="11.28515625" style="1" customWidth="1"/>
    <col min="4104" max="4104" width="10.85546875" style="1" customWidth="1"/>
    <col min="4105" max="4107" width="11.42578125" style="1" customWidth="1"/>
    <col min="4108" max="4108" width="16" style="1" customWidth="1"/>
    <col min="4109" max="4109" width="33.85546875" style="1" customWidth="1"/>
    <col min="4110" max="4110" width="14.28515625" style="1" customWidth="1"/>
    <col min="4111" max="4113" width="9.5703125" style="1" bestFit="1" customWidth="1"/>
    <col min="4114" max="4114" width="10.7109375" style="1" bestFit="1" customWidth="1"/>
    <col min="4115" max="4352" width="9.140625" style="1"/>
    <col min="4353" max="4353" width="50.5703125" style="1" customWidth="1"/>
    <col min="4354" max="4354" width="21" style="1" customWidth="1"/>
    <col min="4355" max="4356" width="11.7109375" style="1" customWidth="1"/>
    <col min="4357" max="4357" width="13.42578125" style="1" customWidth="1"/>
    <col min="4358" max="4358" width="9.28515625" style="1" customWidth="1"/>
    <col min="4359" max="4359" width="11.28515625" style="1" customWidth="1"/>
    <col min="4360" max="4360" width="10.85546875" style="1" customWidth="1"/>
    <col min="4361" max="4363" width="11.42578125" style="1" customWidth="1"/>
    <col min="4364" max="4364" width="16" style="1" customWidth="1"/>
    <col min="4365" max="4365" width="33.85546875" style="1" customWidth="1"/>
    <col min="4366" max="4366" width="14.28515625" style="1" customWidth="1"/>
    <col min="4367" max="4369" width="9.5703125" style="1" bestFit="1" customWidth="1"/>
    <col min="4370" max="4370" width="10.7109375" style="1" bestFit="1" customWidth="1"/>
    <col min="4371" max="4608" width="9.140625" style="1"/>
    <col min="4609" max="4609" width="50.5703125" style="1" customWidth="1"/>
    <col min="4610" max="4610" width="21" style="1" customWidth="1"/>
    <col min="4611" max="4612" width="11.7109375" style="1" customWidth="1"/>
    <col min="4613" max="4613" width="13.42578125" style="1" customWidth="1"/>
    <col min="4614" max="4614" width="9.28515625" style="1" customWidth="1"/>
    <col min="4615" max="4615" width="11.28515625" style="1" customWidth="1"/>
    <col min="4616" max="4616" width="10.85546875" style="1" customWidth="1"/>
    <col min="4617" max="4619" width="11.42578125" style="1" customWidth="1"/>
    <col min="4620" max="4620" width="16" style="1" customWidth="1"/>
    <col min="4621" max="4621" width="33.85546875" style="1" customWidth="1"/>
    <col min="4622" max="4622" width="14.28515625" style="1" customWidth="1"/>
    <col min="4623" max="4625" width="9.5703125" style="1" bestFit="1" customWidth="1"/>
    <col min="4626" max="4626" width="10.7109375" style="1" bestFit="1" customWidth="1"/>
    <col min="4627" max="4864" width="9.140625" style="1"/>
    <col min="4865" max="4865" width="50.5703125" style="1" customWidth="1"/>
    <col min="4866" max="4866" width="21" style="1" customWidth="1"/>
    <col min="4867" max="4868" width="11.7109375" style="1" customWidth="1"/>
    <col min="4869" max="4869" width="13.42578125" style="1" customWidth="1"/>
    <col min="4870" max="4870" width="9.28515625" style="1" customWidth="1"/>
    <col min="4871" max="4871" width="11.28515625" style="1" customWidth="1"/>
    <col min="4872" max="4872" width="10.85546875" style="1" customWidth="1"/>
    <col min="4873" max="4875" width="11.42578125" style="1" customWidth="1"/>
    <col min="4876" max="4876" width="16" style="1" customWidth="1"/>
    <col min="4877" max="4877" width="33.85546875" style="1" customWidth="1"/>
    <col min="4878" max="4878" width="14.28515625" style="1" customWidth="1"/>
    <col min="4879" max="4881" width="9.5703125" style="1" bestFit="1" customWidth="1"/>
    <col min="4882" max="4882" width="10.7109375" style="1" bestFit="1" customWidth="1"/>
    <col min="4883" max="5120" width="9.140625" style="1"/>
    <col min="5121" max="5121" width="50.5703125" style="1" customWidth="1"/>
    <col min="5122" max="5122" width="21" style="1" customWidth="1"/>
    <col min="5123" max="5124" width="11.7109375" style="1" customWidth="1"/>
    <col min="5125" max="5125" width="13.42578125" style="1" customWidth="1"/>
    <col min="5126" max="5126" width="9.28515625" style="1" customWidth="1"/>
    <col min="5127" max="5127" width="11.28515625" style="1" customWidth="1"/>
    <col min="5128" max="5128" width="10.85546875" style="1" customWidth="1"/>
    <col min="5129" max="5131" width="11.42578125" style="1" customWidth="1"/>
    <col min="5132" max="5132" width="16" style="1" customWidth="1"/>
    <col min="5133" max="5133" width="33.85546875" style="1" customWidth="1"/>
    <col min="5134" max="5134" width="14.28515625" style="1" customWidth="1"/>
    <col min="5135" max="5137" width="9.5703125" style="1" bestFit="1" customWidth="1"/>
    <col min="5138" max="5138" width="10.7109375" style="1" bestFit="1" customWidth="1"/>
    <col min="5139" max="5376" width="9.140625" style="1"/>
    <col min="5377" max="5377" width="50.5703125" style="1" customWidth="1"/>
    <col min="5378" max="5378" width="21" style="1" customWidth="1"/>
    <col min="5379" max="5380" width="11.7109375" style="1" customWidth="1"/>
    <col min="5381" max="5381" width="13.42578125" style="1" customWidth="1"/>
    <col min="5382" max="5382" width="9.28515625" style="1" customWidth="1"/>
    <col min="5383" max="5383" width="11.28515625" style="1" customWidth="1"/>
    <col min="5384" max="5384" width="10.85546875" style="1" customWidth="1"/>
    <col min="5385" max="5387" width="11.42578125" style="1" customWidth="1"/>
    <col min="5388" max="5388" width="16" style="1" customWidth="1"/>
    <col min="5389" max="5389" width="33.85546875" style="1" customWidth="1"/>
    <col min="5390" max="5390" width="14.28515625" style="1" customWidth="1"/>
    <col min="5391" max="5393" width="9.5703125" style="1" bestFit="1" customWidth="1"/>
    <col min="5394" max="5394" width="10.7109375" style="1" bestFit="1" customWidth="1"/>
    <col min="5395" max="5632" width="9.140625" style="1"/>
    <col min="5633" max="5633" width="50.5703125" style="1" customWidth="1"/>
    <col min="5634" max="5634" width="21" style="1" customWidth="1"/>
    <col min="5635" max="5636" width="11.7109375" style="1" customWidth="1"/>
    <col min="5637" max="5637" width="13.42578125" style="1" customWidth="1"/>
    <col min="5638" max="5638" width="9.28515625" style="1" customWidth="1"/>
    <col min="5639" max="5639" width="11.28515625" style="1" customWidth="1"/>
    <col min="5640" max="5640" width="10.85546875" style="1" customWidth="1"/>
    <col min="5641" max="5643" width="11.42578125" style="1" customWidth="1"/>
    <col min="5644" max="5644" width="16" style="1" customWidth="1"/>
    <col min="5645" max="5645" width="33.85546875" style="1" customWidth="1"/>
    <col min="5646" max="5646" width="14.28515625" style="1" customWidth="1"/>
    <col min="5647" max="5649" width="9.5703125" style="1" bestFit="1" customWidth="1"/>
    <col min="5650" max="5650" width="10.7109375" style="1" bestFit="1" customWidth="1"/>
    <col min="5651" max="5888" width="9.140625" style="1"/>
    <col min="5889" max="5889" width="50.5703125" style="1" customWidth="1"/>
    <col min="5890" max="5890" width="21" style="1" customWidth="1"/>
    <col min="5891" max="5892" width="11.7109375" style="1" customWidth="1"/>
    <col min="5893" max="5893" width="13.42578125" style="1" customWidth="1"/>
    <col min="5894" max="5894" width="9.28515625" style="1" customWidth="1"/>
    <col min="5895" max="5895" width="11.28515625" style="1" customWidth="1"/>
    <col min="5896" max="5896" width="10.85546875" style="1" customWidth="1"/>
    <col min="5897" max="5899" width="11.42578125" style="1" customWidth="1"/>
    <col min="5900" max="5900" width="16" style="1" customWidth="1"/>
    <col min="5901" max="5901" width="33.85546875" style="1" customWidth="1"/>
    <col min="5902" max="5902" width="14.28515625" style="1" customWidth="1"/>
    <col min="5903" max="5905" width="9.5703125" style="1" bestFit="1" customWidth="1"/>
    <col min="5906" max="5906" width="10.7109375" style="1" bestFit="1" customWidth="1"/>
    <col min="5907" max="6144" width="9.140625" style="1"/>
    <col min="6145" max="6145" width="50.5703125" style="1" customWidth="1"/>
    <col min="6146" max="6146" width="21" style="1" customWidth="1"/>
    <col min="6147" max="6148" width="11.7109375" style="1" customWidth="1"/>
    <col min="6149" max="6149" width="13.42578125" style="1" customWidth="1"/>
    <col min="6150" max="6150" width="9.28515625" style="1" customWidth="1"/>
    <col min="6151" max="6151" width="11.28515625" style="1" customWidth="1"/>
    <col min="6152" max="6152" width="10.85546875" style="1" customWidth="1"/>
    <col min="6153" max="6155" width="11.42578125" style="1" customWidth="1"/>
    <col min="6156" max="6156" width="16" style="1" customWidth="1"/>
    <col min="6157" max="6157" width="33.85546875" style="1" customWidth="1"/>
    <col min="6158" max="6158" width="14.28515625" style="1" customWidth="1"/>
    <col min="6159" max="6161" width="9.5703125" style="1" bestFit="1" customWidth="1"/>
    <col min="6162" max="6162" width="10.7109375" style="1" bestFit="1" customWidth="1"/>
    <col min="6163" max="6400" width="9.140625" style="1"/>
    <col min="6401" max="6401" width="50.5703125" style="1" customWidth="1"/>
    <col min="6402" max="6402" width="21" style="1" customWidth="1"/>
    <col min="6403" max="6404" width="11.7109375" style="1" customWidth="1"/>
    <col min="6405" max="6405" width="13.42578125" style="1" customWidth="1"/>
    <col min="6406" max="6406" width="9.28515625" style="1" customWidth="1"/>
    <col min="6407" max="6407" width="11.28515625" style="1" customWidth="1"/>
    <col min="6408" max="6408" width="10.85546875" style="1" customWidth="1"/>
    <col min="6409" max="6411" width="11.42578125" style="1" customWidth="1"/>
    <col min="6412" max="6412" width="16" style="1" customWidth="1"/>
    <col min="6413" max="6413" width="33.85546875" style="1" customWidth="1"/>
    <col min="6414" max="6414" width="14.28515625" style="1" customWidth="1"/>
    <col min="6415" max="6417" width="9.5703125" style="1" bestFit="1" customWidth="1"/>
    <col min="6418" max="6418" width="10.7109375" style="1" bestFit="1" customWidth="1"/>
    <col min="6419" max="6656" width="9.140625" style="1"/>
    <col min="6657" max="6657" width="50.5703125" style="1" customWidth="1"/>
    <col min="6658" max="6658" width="21" style="1" customWidth="1"/>
    <col min="6659" max="6660" width="11.7109375" style="1" customWidth="1"/>
    <col min="6661" max="6661" width="13.42578125" style="1" customWidth="1"/>
    <col min="6662" max="6662" width="9.28515625" style="1" customWidth="1"/>
    <col min="6663" max="6663" width="11.28515625" style="1" customWidth="1"/>
    <col min="6664" max="6664" width="10.85546875" style="1" customWidth="1"/>
    <col min="6665" max="6667" width="11.42578125" style="1" customWidth="1"/>
    <col min="6668" max="6668" width="16" style="1" customWidth="1"/>
    <col min="6669" max="6669" width="33.85546875" style="1" customWidth="1"/>
    <col min="6670" max="6670" width="14.28515625" style="1" customWidth="1"/>
    <col min="6671" max="6673" width="9.5703125" style="1" bestFit="1" customWidth="1"/>
    <col min="6674" max="6674" width="10.7109375" style="1" bestFit="1" customWidth="1"/>
    <col min="6675" max="6912" width="9.140625" style="1"/>
    <col min="6913" max="6913" width="50.5703125" style="1" customWidth="1"/>
    <col min="6914" max="6914" width="21" style="1" customWidth="1"/>
    <col min="6915" max="6916" width="11.7109375" style="1" customWidth="1"/>
    <col min="6917" max="6917" width="13.42578125" style="1" customWidth="1"/>
    <col min="6918" max="6918" width="9.28515625" style="1" customWidth="1"/>
    <col min="6919" max="6919" width="11.28515625" style="1" customWidth="1"/>
    <col min="6920" max="6920" width="10.85546875" style="1" customWidth="1"/>
    <col min="6921" max="6923" width="11.42578125" style="1" customWidth="1"/>
    <col min="6924" max="6924" width="16" style="1" customWidth="1"/>
    <col min="6925" max="6925" width="33.85546875" style="1" customWidth="1"/>
    <col min="6926" max="6926" width="14.28515625" style="1" customWidth="1"/>
    <col min="6927" max="6929" width="9.5703125" style="1" bestFit="1" customWidth="1"/>
    <col min="6930" max="6930" width="10.7109375" style="1" bestFit="1" customWidth="1"/>
    <col min="6931" max="7168" width="9.140625" style="1"/>
    <col min="7169" max="7169" width="50.5703125" style="1" customWidth="1"/>
    <col min="7170" max="7170" width="21" style="1" customWidth="1"/>
    <col min="7171" max="7172" width="11.7109375" style="1" customWidth="1"/>
    <col min="7173" max="7173" width="13.42578125" style="1" customWidth="1"/>
    <col min="7174" max="7174" width="9.28515625" style="1" customWidth="1"/>
    <col min="7175" max="7175" width="11.28515625" style="1" customWidth="1"/>
    <col min="7176" max="7176" width="10.85546875" style="1" customWidth="1"/>
    <col min="7177" max="7179" width="11.42578125" style="1" customWidth="1"/>
    <col min="7180" max="7180" width="16" style="1" customWidth="1"/>
    <col min="7181" max="7181" width="33.85546875" style="1" customWidth="1"/>
    <col min="7182" max="7182" width="14.28515625" style="1" customWidth="1"/>
    <col min="7183" max="7185" width="9.5703125" style="1" bestFit="1" customWidth="1"/>
    <col min="7186" max="7186" width="10.7109375" style="1" bestFit="1" customWidth="1"/>
    <col min="7187" max="7424" width="9.140625" style="1"/>
    <col min="7425" max="7425" width="50.5703125" style="1" customWidth="1"/>
    <col min="7426" max="7426" width="21" style="1" customWidth="1"/>
    <col min="7427" max="7428" width="11.7109375" style="1" customWidth="1"/>
    <col min="7429" max="7429" width="13.42578125" style="1" customWidth="1"/>
    <col min="7430" max="7430" width="9.28515625" style="1" customWidth="1"/>
    <col min="7431" max="7431" width="11.28515625" style="1" customWidth="1"/>
    <col min="7432" max="7432" width="10.85546875" style="1" customWidth="1"/>
    <col min="7433" max="7435" width="11.42578125" style="1" customWidth="1"/>
    <col min="7436" max="7436" width="16" style="1" customWidth="1"/>
    <col min="7437" max="7437" width="33.85546875" style="1" customWidth="1"/>
    <col min="7438" max="7438" width="14.28515625" style="1" customWidth="1"/>
    <col min="7439" max="7441" width="9.5703125" style="1" bestFit="1" customWidth="1"/>
    <col min="7442" max="7442" width="10.7109375" style="1" bestFit="1" customWidth="1"/>
    <col min="7443" max="7680" width="9.140625" style="1"/>
    <col min="7681" max="7681" width="50.5703125" style="1" customWidth="1"/>
    <col min="7682" max="7682" width="21" style="1" customWidth="1"/>
    <col min="7683" max="7684" width="11.7109375" style="1" customWidth="1"/>
    <col min="7685" max="7685" width="13.42578125" style="1" customWidth="1"/>
    <col min="7686" max="7686" width="9.28515625" style="1" customWidth="1"/>
    <col min="7687" max="7687" width="11.28515625" style="1" customWidth="1"/>
    <col min="7688" max="7688" width="10.85546875" style="1" customWidth="1"/>
    <col min="7689" max="7691" width="11.42578125" style="1" customWidth="1"/>
    <col min="7692" max="7692" width="16" style="1" customWidth="1"/>
    <col min="7693" max="7693" width="33.85546875" style="1" customWidth="1"/>
    <col min="7694" max="7694" width="14.28515625" style="1" customWidth="1"/>
    <col min="7695" max="7697" width="9.5703125" style="1" bestFit="1" customWidth="1"/>
    <col min="7698" max="7698" width="10.7109375" style="1" bestFit="1" customWidth="1"/>
    <col min="7699" max="7936" width="9.140625" style="1"/>
    <col min="7937" max="7937" width="50.5703125" style="1" customWidth="1"/>
    <col min="7938" max="7938" width="21" style="1" customWidth="1"/>
    <col min="7939" max="7940" width="11.7109375" style="1" customWidth="1"/>
    <col min="7941" max="7941" width="13.42578125" style="1" customWidth="1"/>
    <col min="7942" max="7942" width="9.28515625" style="1" customWidth="1"/>
    <col min="7943" max="7943" width="11.28515625" style="1" customWidth="1"/>
    <col min="7944" max="7944" width="10.85546875" style="1" customWidth="1"/>
    <col min="7945" max="7947" width="11.42578125" style="1" customWidth="1"/>
    <col min="7948" max="7948" width="16" style="1" customWidth="1"/>
    <col min="7949" max="7949" width="33.85546875" style="1" customWidth="1"/>
    <col min="7950" max="7950" width="14.28515625" style="1" customWidth="1"/>
    <col min="7951" max="7953" width="9.5703125" style="1" bestFit="1" customWidth="1"/>
    <col min="7954" max="7954" width="10.7109375" style="1" bestFit="1" customWidth="1"/>
    <col min="7955" max="8192" width="9.140625" style="1"/>
    <col min="8193" max="8193" width="50.5703125" style="1" customWidth="1"/>
    <col min="8194" max="8194" width="21" style="1" customWidth="1"/>
    <col min="8195" max="8196" width="11.7109375" style="1" customWidth="1"/>
    <col min="8197" max="8197" width="13.42578125" style="1" customWidth="1"/>
    <col min="8198" max="8198" width="9.28515625" style="1" customWidth="1"/>
    <col min="8199" max="8199" width="11.28515625" style="1" customWidth="1"/>
    <col min="8200" max="8200" width="10.85546875" style="1" customWidth="1"/>
    <col min="8201" max="8203" width="11.42578125" style="1" customWidth="1"/>
    <col min="8204" max="8204" width="16" style="1" customWidth="1"/>
    <col min="8205" max="8205" width="33.85546875" style="1" customWidth="1"/>
    <col min="8206" max="8206" width="14.28515625" style="1" customWidth="1"/>
    <col min="8207" max="8209" width="9.5703125" style="1" bestFit="1" customWidth="1"/>
    <col min="8210" max="8210" width="10.7109375" style="1" bestFit="1" customWidth="1"/>
    <col min="8211" max="8448" width="9.140625" style="1"/>
    <col min="8449" max="8449" width="50.5703125" style="1" customWidth="1"/>
    <col min="8450" max="8450" width="21" style="1" customWidth="1"/>
    <col min="8451" max="8452" width="11.7109375" style="1" customWidth="1"/>
    <col min="8453" max="8453" width="13.42578125" style="1" customWidth="1"/>
    <col min="8454" max="8454" width="9.28515625" style="1" customWidth="1"/>
    <col min="8455" max="8455" width="11.28515625" style="1" customWidth="1"/>
    <col min="8456" max="8456" width="10.85546875" style="1" customWidth="1"/>
    <col min="8457" max="8459" width="11.42578125" style="1" customWidth="1"/>
    <col min="8460" max="8460" width="16" style="1" customWidth="1"/>
    <col min="8461" max="8461" width="33.85546875" style="1" customWidth="1"/>
    <col min="8462" max="8462" width="14.28515625" style="1" customWidth="1"/>
    <col min="8463" max="8465" width="9.5703125" style="1" bestFit="1" customWidth="1"/>
    <col min="8466" max="8466" width="10.7109375" style="1" bestFit="1" customWidth="1"/>
    <col min="8467" max="8704" width="9.140625" style="1"/>
    <col min="8705" max="8705" width="50.5703125" style="1" customWidth="1"/>
    <col min="8706" max="8706" width="21" style="1" customWidth="1"/>
    <col min="8707" max="8708" width="11.7109375" style="1" customWidth="1"/>
    <col min="8709" max="8709" width="13.42578125" style="1" customWidth="1"/>
    <col min="8710" max="8710" width="9.28515625" style="1" customWidth="1"/>
    <col min="8711" max="8711" width="11.28515625" style="1" customWidth="1"/>
    <col min="8712" max="8712" width="10.85546875" style="1" customWidth="1"/>
    <col min="8713" max="8715" width="11.42578125" style="1" customWidth="1"/>
    <col min="8716" max="8716" width="16" style="1" customWidth="1"/>
    <col min="8717" max="8717" width="33.85546875" style="1" customWidth="1"/>
    <col min="8718" max="8718" width="14.28515625" style="1" customWidth="1"/>
    <col min="8719" max="8721" width="9.5703125" style="1" bestFit="1" customWidth="1"/>
    <col min="8722" max="8722" width="10.7109375" style="1" bestFit="1" customWidth="1"/>
    <col min="8723" max="8960" width="9.140625" style="1"/>
    <col min="8961" max="8961" width="50.5703125" style="1" customWidth="1"/>
    <col min="8962" max="8962" width="21" style="1" customWidth="1"/>
    <col min="8963" max="8964" width="11.7109375" style="1" customWidth="1"/>
    <col min="8965" max="8965" width="13.42578125" style="1" customWidth="1"/>
    <col min="8966" max="8966" width="9.28515625" style="1" customWidth="1"/>
    <col min="8967" max="8967" width="11.28515625" style="1" customWidth="1"/>
    <col min="8968" max="8968" width="10.85546875" style="1" customWidth="1"/>
    <col min="8969" max="8971" width="11.42578125" style="1" customWidth="1"/>
    <col min="8972" max="8972" width="16" style="1" customWidth="1"/>
    <col min="8973" max="8973" width="33.85546875" style="1" customWidth="1"/>
    <col min="8974" max="8974" width="14.28515625" style="1" customWidth="1"/>
    <col min="8975" max="8977" width="9.5703125" style="1" bestFit="1" customWidth="1"/>
    <col min="8978" max="8978" width="10.7109375" style="1" bestFit="1" customWidth="1"/>
    <col min="8979" max="9216" width="9.140625" style="1"/>
    <col min="9217" max="9217" width="50.5703125" style="1" customWidth="1"/>
    <col min="9218" max="9218" width="21" style="1" customWidth="1"/>
    <col min="9219" max="9220" width="11.7109375" style="1" customWidth="1"/>
    <col min="9221" max="9221" width="13.42578125" style="1" customWidth="1"/>
    <col min="9222" max="9222" width="9.28515625" style="1" customWidth="1"/>
    <col min="9223" max="9223" width="11.28515625" style="1" customWidth="1"/>
    <col min="9224" max="9224" width="10.85546875" style="1" customWidth="1"/>
    <col min="9225" max="9227" width="11.42578125" style="1" customWidth="1"/>
    <col min="9228" max="9228" width="16" style="1" customWidth="1"/>
    <col min="9229" max="9229" width="33.85546875" style="1" customWidth="1"/>
    <col min="9230" max="9230" width="14.28515625" style="1" customWidth="1"/>
    <col min="9231" max="9233" width="9.5703125" style="1" bestFit="1" customWidth="1"/>
    <col min="9234" max="9234" width="10.7109375" style="1" bestFit="1" customWidth="1"/>
    <col min="9235" max="9472" width="9.140625" style="1"/>
    <col min="9473" max="9473" width="50.5703125" style="1" customWidth="1"/>
    <col min="9474" max="9474" width="21" style="1" customWidth="1"/>
    <col min="9475" max="9476" width="11.7109375" style="1" customWidth="1"/>
    <col min="9477" max="9477" width="13.42578125" style="1" customWidth="1"/>
    <col min="9478" max="9478" width="9.28515625" style="1" customWidth="1"/>
    <col min="9479" max="9479" width="11.28515625" style="1" customWidth="1"/>
    <col min="9480" max="9480" width="10.85546875" style="1" customWidth="1"/>
    <col min="9481" max="9483" width="11.42578125" style="1" customWidth="1"/>
    <col min="9484" max="9484" width="16" style="1" customWidth="1"/>
    <col min="9485" max="9485" width="33.85546875" style="1" customWidth="1"/>
    <col min="9486" max="9486" width="14.28515625" style="1" customWidth="1"/>
    <col min="9487" max="9489" width="9.5703125" style="1" bestFit="1" customWidth="1"/>
    <col min="9490" max="9490" width="10.7109375" style="1" bestFit="1" customWidth="1"/>
    <col min="9491" max="9728" width="9.140625" style="1"/>
    <col min="9729" max="9729" width="50.5703125" style="1" customWidth="1"/>
    <col min="9730" max="9730" width="21" style="1" customWidth="1"/>
    <col min="9731" max="9732" width="11.7109375" style="1" customWidth="1"/>
    <col min="9733" max="9733" width="13.42578125" style="1" customWidth="1"/>
    <col min="9734" max="9734" width="9.28515625" style="1" customWidth="1"/>
    <col min="9735" max="9735" width="11.28515625" style="1" customWidth="1"/>
    <col min="9736" max="9736" width="10.85546875" style="1" customWidth="1"/>
    <col min="9737" max="9739" width="11.42578125" style="1" customWidth="1"/>
    <col min="9740" max="9740" width="16" style="1" customWidth="1"/>
    <col min="9741" max="9741" width="33.85546875" style="1" customWidth="1"/>
    <col min="9742" max="9742" width="14.28515625" style="1" customWidth="1"/>
    <col min="9743" max="9745" width="9.5703125" style="1" bestFit="1" customWidth="1"/>
    <col min="9746" max="9746" width="10.7109375" style="1" bestFit="1" customWidth="1"/>
    <col min="9747" max="9984" width="9.140625" style="1"/>
    <col min="9985" max="9985" width="50.5703125" style="1" customWidth="1"/>
    <col min="9986" max="9986" width="21" style="1" customWidth="1"/>
    <col min="9987" max="9988" width="11.7109375" style="1" customWidth="1"/>
    <col min="9989" max="9989" width="13.42578125" style="1" customWidth="1"/>
    <col min="9990" max="9990" width="9.28515625" style="1" customWidth="1"/>
    <col min="9991" max="9991" width="11.28515625" style="1" customWidth="1"/>
    <col min="9992" max="9992" width="10.85546875" style="1" customWidth="1"/>
    <col min="9993" max="9995" width="11.42578125" style="1" customWidth="1"/>
    <col min="9996" max="9996" width="16" style="1" customWidth="1"/>
    <col min="9997" max="9997" width="33.85546875" style="1" customWidth="1"/>
    <col min="9998" max="9998" width="14.28515625" style="1" customWidth="1"/>
    <col min="9999" max="10001" width="9.5703125" style="1" bestFit="1" customWidth="1"/>
    <col min="10002" max="10002" width="10.7109375" style="1" bestFit="1" customWidth="1"/>
    <col min="10003" max="10240" width="9.140625" style="1"/>
    <col min="10241" max="10241" width="50.5703125" style="1" customWidth="1"/>
    <col min="10242" max="10242" width="21" style="1" customWidth="1"/>
    <col min="10243" max="10244" width="11.7109375" style="1" customWidth="1"/>
    <col min="10245" max="10245" width="13.42578125" style="1" customWidth="1"/>
    <col min="10246" max="10246" width="9.28515625" style="1" customWidth="1"/>
    <col min="10247" max="10247" width="11.28515625" style="1" customWidth="1"/>
    <col min="10248" max="10248" width="10.85546875" style="1" customWidth="1"/>
    <col min="10249" max="10251" width="11.42578125" style="1" customWidth="1"/>
    <col min="10252" max="10252" width="16" style="1" customWidth="1"/>
    <col min="10253" max="10253" width="33.85546875" style="1" customWidth="1"/>
    <col min="10254" max="10254" width="14.28515625" style="1" customWidth="1"/>
    <col min="10255" max="10257" width="9.5703125" style="1" bestFit="1" customWidth="1"/>
    <col min="10258" max="10258" width="10.7109375" style="1" bestFit="1" customWidth="1"/>
    <col min="10259" max="10496" width="9.140625" style="1"/>
    <col min="10497" max="10497" width="50.5703125" style="1" customWidth="1"/>
    <col min="10498" max="10498" width="21" style="1" customWidth="1"/>
    <col min="10499" max="10500" width="11.7109375" style="1" customWidth="1"/>
    <col min="10501" max="10501" width="13.42578125" style="1" customWidth="1"/>
    <col min="10502" max="10502" width="9.28515625" style="1" customWidth="1"/>
    <col min="10503" max="10503" width="11.28515625" style="1" customWidth="1"/>
    <col min="10504" max="10504" width="10.85546875" style="1" customWidth="1"/>
    <col min="10505" max="10507" width="11.42578125" style="1" customWidth="1"/>
    <col min="10508" max="10508" width="16" style="1" customWidth="1"/>
    <col min="10509" max="10509" width="33.85546875" style="1" customWidth="1"/>
    <col min="10510" max="10510" width="14.28515625" style="1" customWidth="1"/>
    <col min="10511" max="10513" width="9.5703125" style="1" bestFit="1" customWidth="1"/>
    <col min="10514" max="10514" width="10.7109375" style="1" bestFit="1" customWidth="1"/>
    <col min="10515" max="10752" width="9.140625" style="1"/>
    <col min="10753" max="10753" width="50.5703125" style="1" customWidth="1"/>
    <col min="10754" max="10754" width="21" style="1" customWidth="1"/>
    <col min="10755" max="10756" width="11.7109375" style="1" customWidth="1"/>
    <col min="10757" max="10757" width="13.42578125" style="1" customWidth="1"/>
    <col min="10758" max="10758" width="9.28515625" style="1" customWidth="1"/>
    <col min="10759" max="10759" width="11.28515625" style="1" customWidth="1"/>
    <col min="10760" max="10760" width="10.85546875" style="1" customWidth="1"/>
    <col min="10761" max="10763" width="11.42578125" style="1" customWidth="1"/>
    <col min="10764" max="10764" width="16" style="1" customWidth="1"/>
    <col min="10765" max="10765" width="33.85546875" style="1" customWidth="1"/>
    <col min="10766" max="10766" width="14.28515625" style="1" customWidth="1"/>
    <col min="10767" max="10769" width="9.5703125" style="1" bestFit="1" customWidth="1"/>
    <col min="10770" max="10770" width="10.7109375" style="1" bestFit="1" customWidth="1"/>
    <col min="10771" max="11008" width="9.140625" style="1"/>
    <col min="11009" max="11009" width="50.5703125" style="1" customWidth="1"/>
    <col min="11010" max="11010" width="21" style="1" customWidth="1"/>
    <col min="11011" max="11012" width="11.7109375" style="1" customWidth="1"/>
    <col min="11013" max="11013" width="13.42578125" style="1" customWidth="1"/>
    <col min="11014" max="11014" width="9.28515625" style="1" customWidth="1"/>
    <col min="11015" max="11015" width="11.28515625" style="1" customWidth="1"/>
    <col min="11016" max="11016" width="10.85546875" style="1" customWidth="1"/>
    <col min="11017" max="11019" width="11.42578125" style="1" customWidth="1"/>
    <col min="11020" max="11020" width="16" style="1" customWidth="1"/>
    <col min="11021" max="11021" width="33.85546875" style="1" customWidth="1"/>
    <col min="11022" max="11022" width="14.28515625" style="1" customWidth="1"/>
    <col min="11023" max="11025" width="9.5703125" style="1" bestFit="1" customWidth="1"/>
    <col min="11026" max="11026" width="10.7109375" style="1" bestFit="1" customWidth="1"/>
    <col min="11027" max="11264" width="9.140625" style="1"/>
    <col min="11265" max="11265" width="50.5703125" style="1" customWidth="1"/>
    <col min="11266" max="11266" width="21" style="1" customWidth="1"/>
    <col min="11267" max="11268" width="11.7109375" style="1" customWidth="1"/>
    <col min="11269" max="11269" width="13.42578125" style="1" customWidth="1"/>
    <col min="11270" max="11270" width="9.28515625" style="1" customWidth="1"/>
    <col min="11271" max="11271" width="11.28515625" style="1" customWidth="1"/>
    <col min="11272" max="11272" width="10.85546875" style="1" customWidth="1"/>
    <col min="11273" max="11275" width="11.42578125" style="1" customWidth="1"/>
    <col min="11276" max="11276" width="16" style="1" customWidth="1"/>
    <col min="11277" max="11277" width="33.85546875" style="1" customWidth="1"/>
    <col min="11278" max="11278" width="14.28515625" style="1" customWidth="1"/>
    <col min="11279" max="11281" width="9.5703125" style="1" bestFit="1" customWidth="1"/>
    <col min="11282" max="11282" width="10.7109375" style="1" bestFit="1" customWidth="1"/>
    <col min="11283" max="11520" width="9.140625" style="1"/>
    <col min="11521" max="11521" width="50.5703125" style="1" customWidth="1"/>
    <col min="11522" max="11522" width="21" style="1" customWidth="1"/>
    <col min="11523" max="11524" width="11.7109375" style="1" customWidth="1"/>
    <col min="11525" max="11525" width="13.42578125" style="1" customWidth="1"/>
    <col min="11526" max="11526" width="9.28515625" style="1" customWidth="1"/>
    <col min="11527" max="11527" width="11.28515625" style="1" customWidth="1"/>
    <col min="11528" max="11528" width="10.85546875" style="1" customWidth="1"/>
    <col min="11529" max="11531" width="11.42578125" style="1" customWidth="1"/>
    <col min="11532" max="11532" width="16" style="1" customWidth="1"/>
    <col min="11533" max="11533" width="33.85546875" style="1" customWidth="1"/>
    <col min="11534" max="11534" width="14.28515625" style="1" customWidth="1"/>
    <col min="11535" max="11537" width="9.5703125" style="1" bestFit="1" customWidth="1"/>
    <col min="11538" max="11538" width="10.7109375" style="1" bestFit="1" customWidth="1"/>
    <col min="11539" max="11776" width="9.140625" style="1"/>
    <col min="11777" max="11777" width="50.5703125" style="1" customWidth="1"/>
    <col min="11778" max="11778" width="21" style="1" customWidth="1"/>
    <col min="11779" max="11780" width="11.7109375" style="1" customWidth="1"/>
    <col min="11781" max="11781" width="13.42578125" style="1" customWidth="1"/>
    <col min="11782" max="11782" width="9.28515625" style="1" customWidth="1"/>
    <col min="11783" max="11783" width="11.28515625" style="1" customWidth="1"/>
    <col min="11784" max="11784" width="10.85546875" style="1" customWidth="1"/>
    <col min="11785" max="11787" width="11.42578125" style="1" customWidth="1"/>
    <col min="11788" max="11788" width="16" style="1" customWidth="1"/>
    <col min="11789" max="11789" width="33.85546875" style="1" customWidth="1"/>
    <col min="11790" max="11790" width="14.28515625" style="1" customWidth="1"/>
    <col min="11791" max="11793" width="9.5703125" style="1" bestFit="1" customWidth="1"/>
    <col min="11794" max="11794" width="10.7109375" style="1" bestFit="1" customWidth="1"/>
    <col min="11795" max="12032" width="9.140625" style="1"/>
    <col min="12033" max="12033" width="50.5703125" style="1" customWidth="1"/>
    <col min="12034" max="12034" width="21" style="1" customWidth="1"/>
    <col min="12035" max="12036" width="11.7109375" style="1" customWidth="1"/>
    <col min="12037" max="12037" width="13.42578125" style="1" customWidth="1"/>
    <col min="12038" max="12038" width="9.28515625" style="1" customWidth="1"/>
    <col min="12039" max="12039" width="11.28515625" style="1" customWidth="1"/>
    <col min="12040" max="12040" width="10.85546875" style="1" customWidth="1"/>
    <col min="12041" max="12043" width="11.42578125" style="1" customWidth="1"/>
    <col min="12044" max="12044" width="16" style="1" customWidth="1"/>
    <col min="12045" max="12045" width="33.85546875" style="1" customWidth="1"/>
    <col min="12046" max="12046" width="14.28515625" style="1" customWidth="1"/>
    <col min="12047" max="12049" width="9.5703125" style="1" bestFit="1" customWidth="1"/>
    <col min="12050" max="12050" width="10.7109375" style="1" bestFit="1" customWidth="1"/>
    <col min="12051" max="12288" width="9.140625" style="1"/>
    <col min="12289" max="12289" width="50.5703125" style="1" customWidth="1"/>
    <col min="12290" max="12290" width="21" style="1" customWidth="1"/>
    <col min="12291" max="12292" width="11.7109375" style="1" customWidth="1"/>
    <col min="12293" max="12293" width="13.42578125" style="1" customWidth="1"/>
    <col min="12294" max="12294" width="9.28515625" style="1" customWidth="1"/>
    <col min="12295" max="12295" width="11.28515625" style="1" customWidth="1"/>
    <col min="12296" max="12296" width="10.85546875" style="1" customWidth="1"/>
    <col min="12297" max="12299" width="11.42578125" style="1" customWidth="1"/>
    <col min="12300" max="12300" width="16" style="1" customWidth="1"/>
    <col min="12301" max="12301" width="33.85546875" style="1" customWidth="1"/>
    <col min="12302" max="12302" width="14.28515625" style="1" customWidth="1"/>
    <col min="12303" max="12305" width="9.5703125" style="1" bestFit="1" customWidth="1"/>
    <col min="12306" max="12306" width="10.7109375" style="1" bestFit="1" customWidth="1"/>
    <col min="12307" max="12544" width="9.140625" style="1"/>
    <col min="12545" max="12545" width="50.5703125" style="1" customWidth="1"/>
    <col min="12546" max="12546" width="21" style="1" customWidth="1"/>
    <col min="12547" max="12548" width="11.7109375" style="1" customWidth="1"/>
    <col min="12549" max="12549" width="13.42578125" style="1" customWidth="1"/>
    <col min="12550" max="12550" width="9.28515625" style="1" customWidth="1"/>
    <col min="12551" max="12551" width="11.28515625" style="1" customWidth="1"/>
    <col min="12552" max="12552" width="10.85546875" style="1" customWidth="1"/>
    <col min="12553" max="12555" width="11.42578125" style="1" customWidth="1"/>
    <col min="12556" max="12556" width="16" style="1" customWidth="1"/>
    <col min="12557" max="12557" width="33.85546875" style="1" customWidth="1"/>
    <col min="12558" max="12558" width="14.28515625" style="1" customWidth="1"/>
    <col min="12559" max="12561" width="9.5703125" style="1" bestFit="1" customWidth="1"/>
    <col min="12562" max="12562" width="10.7109375" style="1" bestFit="1" customWidth="1"/>
    <col min="12563" max="12800" width="9.140625" style="1"/>
    <col min="12801" max="12801" width="50.5703125" style="1" customWidth="1"/>
    <col min="12802" max="12802" width="21" style="1" customWidth="1"/>
    <col min="12803" max="12804" width="11.7109375" style="1" customWidth="1"/>
    <col min="12805" max="12805" width="13.42578125" style="1" customWidth="1"/>
    <col min="12806" max="12806" width="9.28515625" style="1" customWidth="1"/>
    <col min="12807" max="12807" width="11.28515625" style="1" customWidth="1"/>
    <col min="12808" max="12808" width="10.85546875" style="1" customWidth="1"/>
    <col min="12809" max="12811" width="11.42578125" style="1" customWidth="1"/>
    <col min="12812" max="12812" width="16" style="1" customWidth="1"/>
    <col min="12813" max="12813" width="33.85546875" style="1" customWidth="1"/>
    <col min="12814" max="12814" width="14.28515625" style="1" customWidth="1"/>
    <col min="12815" max="12817" width="9.5703125" style="1" bestFit="1" customWidth="1"/>
    <col min="12818" max="12818" width="10.7109375" style="1" bestFit="1" customWidth="1"/>
    <col min="12819" max="13056" width="9.140625" style="1"/>
    <col min="13057" max="13057" width="50.5703125" style="1" customWidth="1"/>
    <col min="13058" max="13058" width="21" style="1" customWidth="1"/>
    <col min="13059" max="13060" width="11.7109375" style="1" customWidth="1"/>
    <col min="13061" max="13061" width="13.42578125" style="1" customWidth="1"/>
    <col min="13062" max="13062" width="9.28515625" style="1" customWidth="1"/>
    <col min="13063" max="13063" width="11.28515625" style="1" customWidth="1"/>
    <col min="13064" max="13064" width="10.85546875" style="1" customWidth="1"/>
    <col min="13065" max="13067" width="11.42578125" style="1" customWidth="1"/>
    <col min="13068" max="13068" width="16" style="1" customWidth="1"/>
    <col min="13069" max="13069" width="33.85546875" style="1" customWidth="1"/>
    <col min="13070" max="13070" width="14.28515625" style="1" customWidth="1"/>
    <col min="13071" max="13073" width="9.5703125" style="1" bestFit="1" customWidth="1"/>
    <col min="13074" max="13074" width="10.7109375" style="1" bestFit="1" customWidth="1"/>
    <col min="13075" max="13312" width="9.140625" style="1"/>
    <col min="13313" max="13313" width="50.5703125" style="1" customWidth="1"/>
    <col min="13314" max="13314" width="21" style="1" customWidth="1"/>
    <col min="13315" max="13316" width="11.7109375" style="1" customWidth="1"/>
    <col min="13317" max="13317" width="13.42578125" style="1" customWidth="1"/>
    <col min="13318" max="13318" width="9.28515625" style="1" customWidth="1"/>
    <col min="13319" max="13319" width="11.28515625" style="1" customWidth="1"/>
    <col min="13320" max="13320" width="10.85546875" style="1" customWidth="1"/>
    <col min="13321" max="13323" width="11.42578125" style="1" customWidth="1"/>
    <col min="13324" max="13324" width="16" style="1" customWidth="1"/>
    <col min="13325" max="13325" width="33.85546875" style="1" customWidth="1"/>
    <col min="13326" max="13326" width="14.28515625" style="1" customWidth="1"/>
    <col min="13327" max="13329" width="9.5703125" style="1" bestFit="1" customWidth="1"/>
    <col min="13330" max="13330" width="10.7109375" style="1" bestFit="1" customWidth="1"/>
    <col min="13331" max="13568" width="9.140625" style="1"/>
    <col min="13569" max="13569" width="50.5703125" style="1" customWidth="1"/>
    <col min="13570" max="13570" width="21" style="1" customWidth="1"/>
    <col min="13571" max="13572" width="11.7109375" style="1" customWidth="1"/>
    <col min="13573" max="13573" width="13.42578125" style="1" customWidth="1"/>
    <col min="13574" max="13574" width="9.28515625" style="1" customWidth="1"/>
    <col min="13575" max="13575" width="11.28515625" style="1" customWidth="1"/>
    <col min="13576" max="13576" width="10.85546875" style="1" customWidth="1"/>
    <col min="13577" max="13579" width="11.42578125" style="1" customWidth="1"/>
    <col min="13580" max="13580" width="16" style="1" customWidth="1"/>
    <col min="13581" max="13581" width="33.85546875" style="1" customWidth="1"/>
    <col min="13582" max="13582" width="14.28515625" style="1" customWidth="1"/>
    <col min="13583" max="13585" width="9.5703125" style="1" bestFit="1" customWidth="1"/>
    <col min="13586" max="13586" width="10.7109375" style="1" bestFit="1" customWidth="1"/>
    <col min="13587" max="13824" width="9.140625" style="1"/>
    <col min="13825" max="13825" width="50.5703125" style="1" customWidth="1"/>
    <col min="13826" max="13826" width="21" style="1" customWidth="1"/>
    <col min="13827" max="13828" width="11.7109375" style="1" customWidth="1"/>
    <col min="13829" max="13829" width="13.42578125" style="1" customWidth="1"/>
    <col min="13830" max="13830" width="9.28515625" style="1" customWidth="1"/>
    <col min="13831" max="13831" width="11.28515625" style="1" customWidth="1"/>
    <col min="13832" max="13832" width="10.85546875" style="1" customWidth="1"/>
    <col min="13833" max="13835" width="11.42578125" style="1" customWidth="1"/>
    <col min="13836" max="13836" width="16" style="1" customWidth="1"/>
    <col min="13837" max="13837" width="33.85546875" style="1" customWidth="1"/>
    <col min="13838" max="13838" width="14.28515625" style="1" customWidth="1"/>
    <col min="13839" max="13841" width="9.5703125" style="1" bestFit="1" customWidth="1"/>
    <col min="13842" max="13842" width="10.7109375" style="1" bestFit="1" customWidth="1"/>
    <col min="13843" max="14080" width="9.140625" style="1"/>
    <col min="14081" max="14081" width="50.5703125" style="1" customWidth="1"/>
    <col min="14082" max="14082" width="21" style="1" customWidth="1"/>
    <col min="14083" max="14084" width="11.7109375" style="1" customWidth="1"/>
    <col min="14085" max="14085" width="13.42578125" style="1" customWidth="1"/>
    <col min="14086" max="14086" width="9.28515625" style="1" customWidth="1"/>
    <col min="14087" max="14087" width="11.28515625" style="1" customWidth="1"/>
    <col min="14088" max="14088" width="10.85546875" style="1" customWidth="1"/>
    <col min="14089" max="14091" width="11.42578125" style="1" customWidth="1"/>
    <col min="14092" max="14092" width="16" style="1" customWidth="1"/>
    <col min="14093" max="14093" width="33.85546875" style="1" customWidth="1"/>
    <col min="14094" max="14094" width="14.28515625" style="1" customWidth="1"/>
    <col min="14095" max="14097" width="9.5703125" style="1" bestFit="1" customWidth="1"/>
    <col min="14098" max="14098" width="10.7109375" style="1" bestFit="1" customWidth="1"/>
    <col min="14099" max="14336" width="9.140625" style="1"/>
    <col min="14337" max="14337" width="50.5703125" style="1" customWidth="1"/>
    <col min="14338" max="14338" width="21" style="1" customWidth="1"/>
    <col min="14339" max="14340" width="11.7109375" style="1" customWidth="1"/>
    <col min="14341" max="14341" width="13.42578125" style="1" customWidth="1"/>
    <col min="14342" max="14342" width="9.28515625" style="1" customWidth="1"/>
    <col min="14343" max="14343" width="11.28515625" style="1" customWidth="1"/>
    <col min="14344" max="14344" width="10.85546875" style="1" customWidth="1"/>
    <col min="14345" max="14347" width="11.42578125" style="1" customWidth="1"/>
    <col min="14348" max="14348" width="16" style="1" customWidth="1"/>
    <col min="14349" max="14349" width="33.85546875" style="1" customWidth="1"/>
    <col min="14350" max="14350" width="14.28515625" style="1" customWidth="1"/>
    <col min="14351" max="14353" width="9.5703125" style="1" bestFit="1" customWidth="1"/>
    <col min="14354" max="14354" width="10.7109375" style="1" bestFit="1" customWidth="1"/>
    <col min="14355" max="14592" width="9.140625" style="1"/>
    <col min="14593" max="14593" width="50.5703125" style="1" customWidth="1"/>
    <col min="14594" max="14594" width="21" style="1" customWidth="1"/>
    <col min="14595" max="14596" width="11.7109375" style="1" customWidth="1"/>
    <col min="14597" max="14597" width="13.42578125" style="1" customWidth="1"/>
    <col min="14598" max="14598" width="9.28515625" style="1" customWidth="1"/>
    <col min="14599" max="14599" width="11.28515625" style="1" customWidth="1"/>
    <col min="14600" max="14600" width="10.85546875" style="1" customWidth="1"/>
    <col min="14601" max="14603" width="11.42578125" style="1" customWidth="1"/>
    <col min="14604" max="14604" width="16" style="1" customWidth="1"/>
    <col min="14605" max="14605" width="33.85546875" style="1" customWidth="1"/>
    <col min="14606" max="14606" width="14.28515625" style="1" customWidth="1"/>
    <col min="14607" max="14609" width="9.5703125" style="1" bestFit="1" customWidth="1"/>
    <col min="14610" max="14610" width="10.7109375" style="1" bestFit="1" customWidth="1"/>
    <col min="14611" max="14848" width="9.140625" style="1"/>
    <col min="14849" max="14849" width="50.5703125" style="1" customWidth="1"/>
    <col min="14850" max="14850" width="21" style="1" customWidth="1"/>
    <col min="14851" max="14852" width="11.7109375" style="1" customWidth="1"/>
    <col min="14853" max="14853" width="13.42578125" style="1" customWidth="1"/>
    <col min="14854" max="14854" width="9.28515625" style="1" customWidth="1"/>
    <col min="14855" max="14855" width="11.28515625" style="1" customWidth="1"/>
    <col min="14856" max="14856" width="10.85546875" style="1" customWidth="1"/>
    <col min="14857" max="14859" width="11.42578125" style="1" customWidth="1"/>
    <col min="14860" max="14860" width="16" style="1" customWidth="1"/>
    <col min="14861" max="14861" width="33.85546875" style="1" customWidth="1"/>
    <col min="14862" max="14862" width="14.28515625" style="1" customWidth="1"/>
    <col min="14863" max="14865" width="9.5703125" style="1" bestFit="1" customWidth="1"/>
    <col min="14866" max="14866" width="10.7109375" style="1" bestFit="1" customWidth="1"/>
    <col min="14867" max="15104" width="9.140625" style="1"/>
    <col min="15105" max="15105" width="50.5703125" style="1" customWidth="1"/>
    <col min="15106" max="15106" width="21" style="1" customWidth="1"/>
    <col min="15107" max="15108" width="11.7109375" style="1" customWidth="1"/>
    <col min="15109" max="15109" width="13.42578125" style="1" customWidth="1"/>
    <col min="15110" max="15110" width="9.28515625" style="1" customWidth="1"/>
    <col min="15111" max="15111" width="11.28515625" style="1" customWidth="1"/>
    <col min="15112" max="15112" width="10.85546875" style="1" customWidth="1"/>
    <col min="15113" max="15115" width="11.42578125" style="1" customWidth="1"/>
    <col min="15116" max="15116" width="16" style="1" customWidth="1"/>
    <col min="15117" max="15117" width="33.85546875" style="1" customWidth="1"/>
    <col min="15118" max="15118" width="14.28515625" style="1" customWidth="1"/>
    <col min="15119" max="15121" width="9.5703125" style="1" bestFit="1" customWidth="1"/>
    <col min="15122" max="15122" width="10.7109375" style="1" bestFit="1" customWidth="1"/>
    <col min="15123" max="15360" width="9.140625" style="1"/>
    <col min="15361" max="15361" width="50.5703125" style="1" customWidth="1"/>
    <col min="15362" max="15362" width="21" style="1" customWidth="1"/>
    <col min="15363" max="15364" width="11.7109375" style="1" customWidth="1"/>
    <col min="15365" max="15365" width="13.42578125" style="1" customWidth="1"/>
    <col min="15366" max="15366" width="9.28515625" style="1" customWidth="1"/>
    <col min="15367" max="15367" width="11.28515625" style="1" customWidth="1"/>
    <col min="15368" max="15368" width="10.85546875" style="1" customWidth="1"/>
    <col min="15369" max="15371" width="11.42578125" style="1" customWidth="1"/>
    <col min="15372" max="15372" width="16" style="1" customWidth="1"/>
    <col min="15373" max="15373" width="33.85546875" style="1" customWidth="1"/>
    <col min="15374" max="15374" width="14.28515625" style="1" customWidth="1"/>
    <col min="15375" max="15377" width="9.5703125" style="1" bestFit="1" customWidth="1"/>
    <col min="15378" max="15378" width="10.7109375" style="1" bestFit="1" customWidth="1"/>
    <col min="15379" max="15616" width="9.140625" style="1"/>
    <col min="15617" max="15617" width="50.5703125" style="1" customWidth="1"/>
    <col min="15618" max="15618" width="21" style="1" customWidth="1"/>
    <col min="15619" max="15620" width="11.7109375" style="1" customWidth="1"/>
    <col min="15621" max="15621" width="13.42578125" style="1" customWidth="1"/>
    <col min="15622" max="15622" width="9.28515625" style="1" customWidth="1"/>
    <col min="15623" max="15623" width="11.28515625" style="1" customWidth="1"/>
    <col min="15624" max="15624" width="10.85546875" style="1" customWidth="1"/>
    <col min="15625" max="15627" width="11.42578125" style="1" customWidth="1"/>
    <col min="15628" max="15628" width="16" style="1" customWidth="1"/>
    <col min="15629" max="15629" width="33.85546875" style="1" customWidth="1"/>
    <col min="15630" max="15630" width="14.28515625" style="1" customWidth="1"/>
    <col min="15631" max="15633" width="9.5703125" style="1" bestFit="1" customWidth="1"/>
    <col min="15634" max="15634" width="10.7109375" style="1" bestFit="1" customWidth="1"/>
    <col min="15635" max="15872" width="9.140625" style="1"/>
    <col min="15873" max="15873" width="50.5703125" style="1" customWidth="1"/>
    <col min="15874" max="15874" width="21" style="1" customWidth="1"/>
    <col min="15875" max="15876" width="11.7109375" style="1" customWidth="1"/>
    <col min="15877" max="15877" width="13.42578125" style="1" customWidth="1"/>
    <col min="15878" max="15878" width="9.28515625" style="1" customWidth="1"/>
    <col min="15879" max="15879" width="11.28515625" style="1" customWidth="1"/>
    <col min="15880" max="15880" width="10.85546875" style="1" customWidth="1"/>
    <col min="15881" max="15883" width="11.42578125" style="1" customWidth="1"/>
    <col min="15884" max="15884" width="16" style="1" customWidth="1"/>
    <col min="15885" max="15885" width="33.85546875" style="1" customWidth="1"/>
    <col min="15886" max="15886" width="14.28515625" style="1" customWidth="1"/>
    <col min="15887" max="15889" width="9.5703125" style="1" bestFit="1" customWidth="1"/>
    <col min="15890" max="15890" width="10.7109375" style="1" bestFit="1" customWidth="1"/>
    <col min="15891" max="16128" width="9.140625" style="1"/>
    <col min="16129" max="16129" width="50.5703125" style="1" customWidth="1"/>
    <col min="16130" max="16130" width="21" style="1" customWidth="1"/>
    <col min="16131" max="16132" width="11.7109375" style="1" customWidth="1"/>
    <col min="16133" max="16133" width="13.42578125" style="1" customWidth="1"/>
    <col min="16134" max="16134" width="9.28515625" style="1" customWidth="1"/>
    <col min="16135" max="16135" width="11.28515625" style="1" customWidth="1"/>
    <col min="16136" max="16136" width="10.85546875" style="1" customWidth="1"/>
    <col min="16137" max="16139" width="11.42578125" style="1" customWidth="1"/>
    <col min="16140" max="16140" width="16" style="1" customWidth="1"/>
    <col min="16141" max="16141" width="33.85546875" style="1" customWidth="1"/>
    <col min="16142" max="16142" width="14.28515625" style="1" customWidth="1"/>
    <col min="16143" max="16145" width="9.5703125" style="1" bestFit="1" customWidth="1"/>
    <col min="16146" max="16146" width="10.7109375" style="1" bestFit="1" customWidth="1"/>
    <col min="16147" max="16384" width="9.140625" style="1"/>
  </cols>
  <sheetData>
    <row r="1" spans="1:18" ht="48.75" customHeight="1" x14ac:dyDescent="0.25">
      <c r="L1" s="94" t="s">
        <v>241</v>
      </c>
      <c r="M1" s="94"/>
    </row>
    <row r="2" spans="1:18" ht="46.5" customHeight="1" x14ac:dyDescent="0.25">
      <c r="L2" s="96" t="s">
        <v>223</v>
      </c>
      <c r="M2" s="96"/>
    </row>
    <row r="4" spans="1:18" ht="15" customHeight="1" x14ac:dyDescent="0.25">
      <c r="A4" s="66" t="s">
        <v>224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6" spans="1:18" ht="28.5" customHeight="1" x14ac:dyDescent="0.25">
      <c r="A6" s="60" t="s">
        <v>3</v>
      </c>
      <c r="B6" s="60" t="s">
        <v>225</v>
      </c>
      <c r="C6" s="97" t="s">
        <v>226</v>
      </c>
      <c r="D6" s="97"/>
      <c r="E6" s="97"/>
      <c r="F6" s="97"/>
      <c r="G6" s="95" t="s">
        <v>6</v>
      </c>
      <c r="H6" s="95"/>
      <c r="I6" s="95"/>
      <c r="J6" s="95"/>
      <c r="K6" s="95"/>
      <c r="L6" s="95"/>
      <c r="M6" s="67" t="s">
        <v>227</v>
      </c>
    </row>
    <row r="7" spans="1:18" ht="34.5" customHeight="1" x14ac:dyDescent="0.25">
      <c r="A7" s="62"/>
      <c r="B7" s="62"/>
      <c r="C7" s="4" t="s">
        <v>7</v>
      </c>
      <c r="D7" s="4" t="s">
        <v>8</v>
      </c>
      <c r="E7" s="4" t="s">
        <v>9</v>
      </c>
      <c r="F7" s="4" t="s">
        <v>10</v>
      </c>
      <c r="G7" s="42">
        <v>2014</v>
      </c>
      <c r="H7" s="42">
        <v>2015</v>
      </c>
      <c r="I7" s="42">
        <v>2016</v>
      </c>
      <c r="J7" s="42">
        <v>2017</v>
      </c>
      <c r="K7" s="42">
        <v>2018</v>
      </c>
      <c r="L7" s="27" t="s">
        <v>11</v>
      </c>
      <c r="M7" s="67"/>
    </row>
    <row r="8" spans="1:18" ht="19.5" customHeight="1" x14ac:dyDescent="0.25">
      <c r="A8" s="98" t="s">
        <v>228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00"/>
    </row>
    <row r="9" spans="1:18" s="15" customFormat="1" ht="77.25" customHeight="1" x14ac:dyDescent="0.25">
      <c r="A9" s="44" t="s">
        <v>229</v>
      </c>
      <c r="B9" s="7"/>
      <c r="C9" s="8"/>
      <c r="D9" s="8"/>
      <c r="E9" s="8"/>
      <c r="F9" s="8"/>
      <c r="G9" s="33">
        <f>SUM(G10:G34)</f>
        <v>31901.469999999998</v>
      </c>
      <c r="H9" s="33">
        <f>SUM(H10:H34)</f>
        <v>32954.811799999996</v>
      </c>
      <c r="I9" s="33">
        <f>SUM(I10:I36)</f>
        <v>27648.208999999999</v>
      </c>
      <c r="J9" s="33">
        <f>SUM(J10:J34)</f>
        <v>27729.38</v>
      </c>
      <c r="K9" s="33">
        <f>SUM(K10:K34)</f>
        <v>27729.38</v>
      </c>
      <c r="L9" s="33">
        <f>SUM(L10:L36)</f>
        <v>147963.25080000001</v>
      </c>
      <c r="M9" s="22" t="s">
        <v>230</v>
      </c>
      <c r="N9" s="47"/>
      <c r="O9" s="47"/>
      <c r="P9" s="47"/>
      <c r="Q9" s="47"/>
      <c r="R9" s="47"/>
    </row>
    <row r="10" spans="1:18" ht="36.75" customHeight="1" x14ac:dyDescent="0.25">
      <c r="A10" s="73" t="s">
        <v>134</v>
      </c>
      <c r="B10" s="25" t="s">
        <v>28</v>
      </c>
      <c r="C10" s="20" t="s">
        <v>32</v>
      </c>
      <c r="D10" s="20" t="s">
        <v>135</v>
      </c>
      <c r="E10" s="20" t="s">
        <v>136</v>
      </c>
      <c r="F10" s="20" t="s">
        <v>137</v>
      </c>
      <c r="G10" s="27">
        <f>ROUND(63.25215+18.982,2)</f>
        <v>82.23</v>
      </c>
      <c r="H10" s="27">
        <v>127.96</v>
      </c>
      <c r="I10" s="27">
        <f>ROUND(84.178+25.422,2)</f>
        <v>109.6</v>
      </c>
      <c r="J10" s="27">
        <f t="shared" ref="J10:K12" si="0">I10</f>
        <v>109.6</v>
      </c>
      <c r="K10" s="27">
        <f t="shared" si="0"/>
        <v>109.6</v>
      </c>
      <c r="L10" s="27">
        <f>SUM(G10:K10)</f>
        <v>538.99</v>
      </c>
      <c r="M10" s="19"/>
    </row>
    <row r="11" spans="1:18" ht="43.5" customHeight="1" x14ac:dyDescent="0.25">
      <c r="A11" s="74"/>
      <c r="B11" s="25" t="s">
        <v>92</v>
      </c>
      <c r="C11" s="20" t="s">
        <v>17</v>
      </c>
      <c r="D11" s="20" t="s">
        <v>135</v>
      </c>
      <c r="E11" s="20" t="s">
        <v>136</v>
      </c>
      <c r="F11" s="20" t="s">
        <v>138</v>
      </c>
      <c r="G11" s="27">
        <f>ROUND(63.389+19.144,2)</f>
        <v>82.53</v>
      </c>
      <c r="H11" s="27">
        <v>54.8</v>
      </c>
      <c r="I11" s="27">
        <f>ROUND(31.567+9.533,2)</f>
        <v>41.1</v>
      </c>
      <c r="J11" s="27">
        <f>I11</f>
        <v>41.1</v>
      </c>
      <c r="K11" s="27">
        <f t="shared" si="0"/>
        <v>41.1</v>
      </c>
      <c r="L11" s="27">
        <f t="shared" ref="L11:L34" si="1">SUM(G11:K11)</f>
        <v>260.63</v>
      </c>
      <c r="M11" s="19"/>
    </row>
    <row r="12" spans="1:18" ht="45.75" customHeight="1" x14ac:dyDescent="0.25">
      <c r="A12" s="75"/>
      <c r="B12" s="25" t="s">
        <v>29</v>
      </c>
      <c r="C12" s="20" t="s">
        <v>18</v>
      </c>
      <c r="D12" s="20" t="s">
        <v>135</v>
      </c>
      <c r="E12" s="20" t="s">
        <v>136</v>
      </c>
      <c r="F12" s="20" t="s">
        <v>138</v>
      </c>
      <c r="G12" s="27">
        <f>ROUND(63.05226+19.04179,2)</f>
        <v>82.09</v>
      </c>
      <c r="H12" s="27">
        <v>51.16</v>
      </c>
      <c r="I12" s="27">
        <f>ROUND(10.52227+3.17773,2)</f>
        <v>13.7</v>
      </c>
      <c r="J12" s="27">
        <f t="shared" si="0"/>
        <v>13.7</v>
      </c>
      <c r="K12" s="27">
        <f t="shared" si="0"/>
        <v>13.7</v>
      </c>
      <c r="L12" s="27">
        <f t="shared" si="1"/>
        <v>174.34999999999997</v>
      </c>
      <c r="M12" s="19"/>
    </row>
    <row r="13" spans="1:18" ht="73.5" customHeight="1" x14ac:dyDescent="0.25">
      <c r="A13" s="48" t="s">
        <v>140</v>
      </c>
      <c r="B13" s="25" t="s">
        <v>28</v>
      </c>
      <c r="C13" s="20" t="s">
        <v>32</v>
      </c>
      <c r="D13" s="20" t="s">
        <v>33</v>
      </c>
      <c r="E13" s="20" t="s">
        <v>141</v>
      </c>
      <c r="F13" s="20" t="s">
        <v>142</v>
      </c>
      <c r="G13" s="27">
        <f>ROUND(123.16034,2)</f>
        <v>123.16</v>
      </c>
      <c r="H13" s="27">
        <v>124.18</v>
      </c>
      <c r="I13" s="27">
        <f>ROUND(223-81.17,2)</f>
        <v>141.83000000000001</v>
      </c>
      <c r="J13" s="27">
        <f>ROUND(223,2)</f>
        <v>223</v>
      </c>
      <c r="K13" s="27">
        <f>J13</f>
        <v>223</v>
      </c>
      <c r="L13" s="27">
        <f t="shared" si="1"/>
        <v>835.17000000000007</v>
      </c>
      <c r="M13" s="22"/>
    </row>
    <row r="14" spans="1:18" ht="22.5" customHeight="1" x14ac:dyDescent="0.25">
      <c r="A14" s="63" t="s">
        <v>144</v>
      </c>
      <c r="B14" s="60" t="s">
        <v>28</v>
      </c>
      <c r="C14" s="20" t="s">
        <v>32</v>
      </c>
      <c r="D14" s="20" t="s">
        <v>47</v>
      </c>
      <c r="E14" s="20" t="s">
        <v>145</v>
      </c>
      <c r="F14" s="20" t="s">
        <v>65</v>
      </c>
      <c r="G14" s="27">
        <f>ROUND(24.05+4139.9822,2)</f>
        <v>4164.03</v>
      </c>
      <c r="H14" s="27">
        <v>0</v>
      </c>
      <c r="I14" s="27">
        <f t="shared" ref="I14:K18" si="2">H14</f>
        <v>0</v>
      </c>
      <c r="J14" s="27">
        <f t="shared" si="2"/>
        <v>0</v>
      </c>
      <c r="K14" s="27">
        <f t="shared" si="2"/>
        <v>0</v>
      </c>
      <c r="L14" s="27">
        <f t="shared" si="1"/>
        <v>4164.03</v>
      </c>
      <c r="M14" s="19"/>
    </row>
    <row r="15" spans="1:18" ht="21" customHeight="1" x14ac:dyDescent="0.25">
      <c r="A15" s="63"/>
      <c r="B15" s="62"/>
      <c r="C15" s="20" t="s">
        <v>32</v>
      </c>
      <c r="D15" s="20" t="s">
        <v>47</v>
      </c>
      <c r="E15" s="20" t="s">
        <v>145</v>
      </c>
      <c r="F15" s="20" t="s">
        <v>142</v>
      </c>
      <c r="G15" s="27">
        <f>ROUND(3825.3678,2)</f>
        <v>3825.37</v>
      </c>
      <c r="H15" s="27">
        <v>0</v>
      </c>
      <c r="I15" s="27">
        <f t="shared" si="2"/>
        <v>0</v>
      </c>
      <c r="J15" s="27">
        <f t="shared" si="2"/>
        <v>0</v>
      </c>
      <c r="K15" s="27">
        <f t="shared" si="2"/>
        <v>0</v>
      </c>
      <c r="L15" s="27">
        <f t="shared" si="1"/>
        <v>3825.37</v>
      </c>
      <c r="M15" s="19"/>
    </row>
    <row r="16" spans="1:18" ht="63" customHeight="1" x14ac:dyDescent="0.25">
      <c r="A16" s="48" t="s">
        <v>147</v>
      </c>
      <c r="B16" s="25" t="s">
        <v>28</v>
      </c>
      <c r="C16" s="20" t="s">
        <v>32</v>
      </c>
      <c r="D16" s="20" t="s">
        <v>47</v>
      </c>
      <c r="E16" s="20" t="s">
        <v>148</v>
      </c>
      <c r="F16" s="20" t="s">
        <v>142</v>
      </c>
      <c r="G16" s="27">
        <f>ROUND(600,2)</f>
        <v>600</v>
      </c>
      <c r="H16" s="27">
        <v>600</v>
      </c>
      <c r="I16" s="27">
        <v>600</v>
      </c>
      <c r="J16" s="27">
        <f>I16</f>
        <v>600</v>
      </c>
      <c r="K16" s="27">
        <f t="shared" si="2"/>
        <v>600</v>
      </c>
      <c r="L16" s="27">
        <f>SUM(G16:K16)</f>
        <v>3000</v>
      </c>
      <c r="M16" s="22"/>
    </row>
    <row r="17" spans="1:13" ht="33.75" customHeight="1" x14ac:dyDescent="0.25">
      <c r="A17" s="73" t="s">
        <v>150</v>
      </c>
      <c r="B17" s="60" t="s">
        <v>28</v>
      </c>
      <c r="C17" s="20" t="s">
        <v>32</v>
      </c>
      <c r="D17" s="20" t="s">
        <v>42</v>
      </c>
      <c r="E17" s="20" t="s">
        <v>151</v>
      </c>
      <c r="F17" s="20" t="s">
        <v>137</v>
      </c>
      <c r="G17" s="27">
        <f>ROUND(6638.15089+1871.916,2)</f>
        <v>8510.07</v>
      </c>
      <c r="H17" s="27">
        <v>8657.5499999999993</v>
      </c>
      <c r="I17" s="27">
        <f>ROUND(7386.076+2230.595-784.178-236.822-2.28-0.689,2)</f>
        <v>8592.7000000000007</v>
      </c>
      <c r="J17" s="27">
        <f>ROUND(7386.076+2230.595-784.178-236.822,2)</f>
        <v>8595.67</v>
      </c>
      <c r="K17" s="27">
        <f>ROUND(7386.076+2230.595-784.178-236.822,2)</f>
        <v>8595.67</v>
      </c>
      <c r="L17" s="27">
        <f t="shared" si="1"/>
        <v>42951.659999999996</v>
      </c>
      <c r="M17" s="22"/>
    </row>
    <row r="18" spans="1:13" ht="30.75" customHeight="1" x14ac:dyDescent="0.25">
      <c r="A18" s="74"/>
      <c r="B18" s="61"/>
      <c r="C18" s="20" t="s">
        <v>32</v>
      </c>
      <c r="D18" s="20" t="s">
        <v>42</v>
      </c>
      <c r="E18" s="20" t="s">
        <v>151</v>
      </c>
      <c r="F18" s="20" t="s">
        <v>152</v>
      </c>
      <c r="G18" s="27">
        <f>ROUND(8.5+3.4,2)</f>
        <v>11.9</v>
      </c>
      <c r="H18" s="27">
        <v>19.71</v>
      </c>
      <c r="I18" s="27">
        <f>ROUND(34.32+30,2)</f>
        <v>64.319999999999993</v>
      </c>
      <c r="J18" s="27">
        <f t="shared" si="2"/>
        <v>64.319999999999993</v>
      </c>
      <c r="K18" s="27">
        <f t="shared" si="2"/>
        <v>64.319999999999993</v>
      </c>
      <c r="L18" s="27">
        <f t="shared" si="1"/>
        <v>224.57</v>
      </c>
      <c r="M18" s="19"/>
    </row>
    <row r="19" spans="1:13" ht="33.75" customHeight="1" x14ac:dyDescent="0.25">
      <c r="A19" s="74"/>
      <c r="B19" s="61"/>
      <c r="C19" s="20" t="s">
        <v>32</v>
      </c>
      <c r="D19" s="20" t="s">
        <v>42</v>
      </c>
      <c r="E19" s="20" t="s">
        <v>151</v>
      </c>
      <c r="F19" s="20" t="s">
        <v>35</v>
      </c>
      <c r="G19" s="27">
        <f>ROUND(229.35693+108.05325+145+506.55007+160.3+414.093,2)</f>
        <v>1563.35</v>
      </c>
      <c r="H19" s="27">
        <v>1818.68</v>
      </c>
      <c r="I19" s="27">
        <f>ROUND(220+154.89469+226.10888+640+55.3+590-30,2)</f>
        <v>1856.3</v>
      </c>
      <c r="J19" s="27">
        <f>ROUND(220+154.89469+226.10888+640+55.3+590-30,2)</f>
        <v>1856.3</v>
      </c>
      <c r="K19" s="27">
        <f>ROUND(220+154.89469+226.10888+640+55.3+590-30,2)</f>
        <v>1856.3</v>
      </c>
      <c r="L19" s="27">
        <f t="shared" si="1"/>
        <v>8950.93</v>
      </c>
      <c r="M19" s="19"/>
    </row>
    <row r="20" spans="1:13" ht="28.5" customHeight="1" x14ac:dyDescent="0.25">
      <c r="A20" s="74"/>
      <c r="B20" s="61"/>
      <c r="C20" s="20" t="s">
        <v>32</v>
      </c>
      <c r="D20" s="20" t="s">
        <v>42</v>
      </c>
      <c r="E20" s="20" t="s">
        <v>153</v>
      </c>
      <c r="F20" s="20" t="s">
        <v>154</v>
      </c>
      <c r="G20" s="27">
        <f>ROUND(178.03,2)</f>
        <v>178.03</v>
      </c>
      <c r="H20" s="27">
        <v>36.241799999999998</v>
      </c>
      <c r="I20" s="27">
        <v>0</v>
      </c>
      <c r="J20" s="27">
        <v>0</v>
      </c>
      <c r="K20" s="27">
        <v>0</v>
      </c>
      <c r="L20" s="27">
        <f t="shared" si="1"/>
        <v>214.27179999999998</v>
      </c>
      <c r="M20" s="19"/>
    </row>
    <row r="21" spans="1:13" ht="33" customHeight="1" x14ac:dyDescent="0.25">
      <c r="A21" s="74"/>
      <c r="B21" s="60" t="s">
        <v>92</v>
      </c>
      <c r="C21" s="20" t="s">
        <v>17</v>
      </c>
      <c r="D21" s="20" t="s">
        <v>42</v>
      </c>
      <c r="E21" s="20" t="s">
        <v>151</v>
      </c>
      <c r="F21" s="20" t="s">
        <v>138</v>
      </c>
      <c r="G21" s="27">
        <f>ROUND(424.26981+162.21819,2)</f>
        <v>586.49</v>
      </c>
      <c r="H21" s="27">
        <v>504.9</v>
      </c>
      <c r="I21" s="27">
        <f>ROUND(448.175+135.43885,2)</f>
        <v>583.61</v>
      </c>
      <c r="J21" s="27">
        <f t="shared" ref="J21:K24" si="3">I21</f>
        <v>583.61</v>
      </c>
      <c r="K21" s="27">
        <f t="shared" si="3"/>
        <v>583.61</v>
      </c>
      <c r="L21" s="27">
        <f t="shared" si="1"/>
        <v>2842.2200000000003</v>
      </c>
      <c r="M21" s="19"/>
    </row>
    <row r="22" spans="1:13" ht="33" customHeight="1" x14ac:dyDescent="0.25">
      <c r="A22" s="75"/>
      <c r="B22" s="61"/>
      <c r="C22" s="20" t="s">
        <v>17</v>
      </c>
      <c r="D22" s="20" t="s">
        <v>42</v>
      </c>
      <c r="E22" s="20" t="s">
        <v>151</v>
      </c>
      <c r="F22" s="20" t="s">
        <v>35</v>
      </c>
      <c r="G22" s="27">
        <f>ROUND(44.386+144.385,2)</f>
        <v>188.77</v>
      </c>
      <c r="H22" s="27">
        <v>287.73</v>
      </c>
      <c r="I22" s="27">
        <f>ROUND(200.143,2)</f>
        <v>200.14</v>
      </c>
      <c r="J22" s="27">
        <f t="shared" si="3"/>
        <v>200.14</v>
      </c>
      <c r="K22" s="27">
        <f t="shared" si="3"/>
        <v>200.14</v>
      </c>
      <c r="L22" s="27">
        <f t="shared" si="1"/>
        <v>1076.92</v>
      </c>
      <c r="M22" s="19"/>
    </row>
    <row r="23" spans="1:13" ht="182.25" customHeight="1" x14ac:dyDescent="0.25">
      <c r="A23" s="49" t="s">
        <v>156</v>
      </c>
      <c r="B23" s="25" t="s">
        <v>28</v>
      </c>
      <c r="C23" s="20" t="s">
        <v>32</v>
      </c>
      <c r="D23" s="20" t="s">
        <v>42</v>
      </c>
      <c r="E23" s="20" t="s">
        <v>157</v>
      </c>
      <c r="F23" s="20" t="s">
        <v>35</v>
      </c>
      <c r="G23" s="27">
        <f>ROUND(124.1,2)</f>
        <v>124.1</v>
      </c>
      <c r="H23" s="27">
        <f>G23</f>
        <v>124.1</v>
      </c>
      <c r="I23" s="27">
        <f>H23</f>
        <v>124.1</v>
      </c>
      <c r="J23" s="27">
        <f>I23</f>
        <v>124.1</v>
      </c>
      <c r="K23" s="27">
        <f t="shared" si="3"/>
        <v>124.1</v>
      </c>
      <c r="L23" s="27">
        <f t="shared" si="1"/>
        <v>620.5</v>
      </c>
      <c r="M23" s="19"/>
    </row>
    <row r="24" spans="1:13" ht="62.25" customHeight="1" x14ac:dyDescent="0.25">
      <c r="A24" s="73" t="s">
        <v>159</v>
      </c>
      <c r="B24" s="25" t="s">
        <v>92</v>
      </c>
      <c r="C24" s="20" t="s">
        <v>17</v>
      </c>
      <c r="D24" s="20" t="s">
        <v>42</v>
      </c>
      <c r="E24" s="20" t="s">
        <v>160</v>
      </c>
      <c r="F24" s="20" t="s">
        <v>138</v>
      </c>
      <c r="G24" s="27">
        <f>ROUND(45.395+13.71,2)</f>
        <v>59.11</v>
      </c>
      <c r="H24" s="27">
        <v>119.15</v>
      </c>
      <c r="I24" s="27">
        <f>ROUND(212.624+64.212,2)</f>
        <v>276.83999999999997</v>
      </c>
      <c r="J24" s="27">
        <f t="shared" si="3"/>
        <v>276.83999999999997</v>
      </c>
      <c r="K24" s="27">
        <f t="shared" si="3"/>
        <v>276.83999999999997</v>
      </c>
      <c r="L24" s="27">
        <f t="shared" si="1"/>
        <v>1008.78</v>
      </c>
      <c r="M24" s="19"/>
    </row>
    <row r="25" spans="1:13" ht="50.25" customHeight="1" x14ac:dyDescent="0.25">
      <c r="A25" s="75"/>
      <c r="B25" s="25" t="s">
        <v>28</v>
      </c>
      <c r="C25" s="20" t="s">
        <v>32</v>
      </c>
      <c r="D25" s="20" t="s">
        <v>42</v>
      </c>
      <c r="E25" s="20" t="s">
        <v>160</v>
      </c>
      <c r="F25" s="20" t="s">
        <v>137</v>
      </c>
      <c r="G25" s="27">
        <v>0</v>
      </c>
      <c r="H25" s="27">
        <v>0</v>
      </c>
      <c r="I25" s="27">
        <f>ROUND(35.868+10.832,2)</f>
        <v>46.7</v>
      </c>
      <c r="J25" s="27">
        <f>ROUND(35.868+10.832,2)</f>
        <v>46.7</v>
      </c>
      <c r="K25" s="27">
        <f>ROUND(35.868+10.832,2)</f>
        <v>46.7</v>
      </c>
      <c r="L25" s="27">
        <f>SUM(G25:K25)</f>
        <v>140.10000000000002</v>
      </c>
      <c r="M25" s="19"/>
    </row>
    <row r="26" spans="1:13" ht="48" customHeight="1" x14ac:dyDescent="0.25">
      <c r="A26" s="49" t="s">
        <v>162</v>
      </c>
      <c r="B26" s="25" t="s">
        <v>28</v>
      </c>
      <c r="C26" s="20" t="s">
        <v>32</v>
      </c>
      <c r="D26" s="20" t="s">
        <v>42</v>
      </c>
      <c r="E26" s="20" t="s">
        <v>163</v>
      </c>
      <c r="F26" s="20" t="s">
        <v>231</v>
      </c>
      <c r="G26" s="27">
        <v>2288.5</v>
      </c>
      <c r="H26" s="27">
        <v>0</v>
      </c>
      <c r="I26" s="27">
        <v>0</v>
      </c>
      <c r="J26" s="27">
        <v>0</v>
      </c>
      <c r="K26" s="27">
        <v>0</v>
      </c>
      <c r="L26" s="27">
        <f t="shared" si="1"/>
        <v>2288.5</v>
      </c>
      <c r="M26" s="19"/>
    </row>
    <row r="27" spans="1:13" ht="187.5" customHeight="1" x14ac:dyDescent="0.25">
      <c r="A27" s="49" t="s">
        <v>165</v>
      </c>
      <c r="B27" s="25" t="s">
        <v>28</v>
      </c>
      <c r="C27" s="20" t="s">
        <v>32</v>
      </c>
      <c r="D27" s="20" t="s">
        <v>42</v>
      </c>
      <c r="E27" s="20" t="s">
        <v>166</v>
      </c>
      <c r="F27" s="20" t="s">
        <v>35</v>
      </c>
      <c r="G27" s="27">
        <v>8600</v>
      </c>
      <c r="H27" s="27">
        <v>3928.5</v>
      </c>
      <c r="I27" s="27">
        <v>0</v>
      </c>
      <c r="J27" s="27">
        <v>0</v>
      </c>
      <c r="K27" s="27">
        <v>0</v>
      </c>
      <c r="L27" s="27">
        <f t="shared" si="1"/>
        <v>12528.5</v>
      </c>
      <c r="M27" s="19"/>
    </row>
    <row r="28" spans="1:13" ht="151.5" customHeight="1" x14ac:dyDescent="0.25">
      <c r="A28" s="50" t="s">
        <v>168</v>
      </c>
      <c r="B28" s="25" t="s">
        <v>23</v>
      </c>
      <c r="C28" s="20" t="s">
        <v>24</v>
      </c>
      <c r="D28" s="20" t="s">
        <v>33</v>
      </c>
      <c r="E28" s="20" t="s">
        <v>169</v>
      </c>
      <c r="F28" s="20" t="s">
        <v>232</v>
      </c>
      <c r="G28" s="27">
        <f>ROUND(823.119,2)</f>
        <v>823.12</v>
      </c>
      <c r="H28" s="27">
        <v>3923.08</v>
      </c>
      <c r="I28" s="27">
        <v>4200.6000000000004</v>
      </c>
      <c r="J28" s="27">
        <f t="shared" ref="J28:K30" si="4">I28</f>
        <v>4200.6000000000004</v>
      </c>
      <c r="K28" s="27">
        <f t="shared" si="4"/>
        <v>4200.6000000000004</v>
      </c>
      <c r="L28" s="27">
        <f t="shared" si="1"/>
        <v>17348</v>
      </c>
      <c r="M28" s="19"/>
    </row>
    <row r="29" spans="1:13" ht="54" customHeight="1" x14ac:dyDescent="0.25">
      <c r="A29" s="2" t="s">
        <v>172</v>
      </c>
      <c r="B29" s="25" t="s">
        <v>28</v>
      </c>
      <c r="C29" s="20" t="s">
        <v>32</v>
      </c>
      <c r="D29" s="20" t="s">
        <v>47</v>
      </c>
      <c r="E29" s="20" t="s">
        <v>173</v>
      </c>
      <c r="F29" s="20" t="s">
        <v>142</v>
      </c>
      <c r="G29" s="27">
        <v>0</v>
      </c>
      <c r="H29" s="27">
        <v>4227.32</v>
      </c>
      <c r="I29" s="27">
        <f>ROUND(10793.7,2)</f>
        <v>10793.7</v>
      </c>
      <c r="J29" s="27">
        <f t="shared" si="4"/>
        <v>10793.7</v>
      </c>
      <c r="K29" s="27">
        <f t="shared" si="4"/>
        <v>10793.7</v>
      </c>
      <c r="L29" s="27">
        <f t="shared" si="1"/>
        <v>36608.42</v>
      </c>
      <c r="M29" s="19"/>
    </row>
    <row r="30" spans="1:13" ht="72" customHeight="1" x14ac:dyDescent="0.25">
      <c r="A30" s="43" t="s">
        <v>175</v>
      </c>
      <c r="B30" s="25" t="s">
        <v>92</v>
      </c>
      <c r="C30" s="20" t="s">
        <v>17</v>
      </c>
      <c r="D30" s="20" t="s">
        <v>42</v>
      </c>
      <c r="E30" s="20" t="s">
        <v>176</v>
      </c>
      <c r="F30" s="20" t="s">
        <v>177</v>
      </c>
      <c r="G30" s="27">
        <f>ROUND(6.617+1.998,2)</f>
        <v>8.6199999999999992</v>
      </c>
      <c r="H30" s="27">
        <v>0</v>
      </c>
      <c r="I30" s="27">
        <f>H30</f>
        <v>0</v>
      </c>
      <c r="J30" s="27">
        <f t="shared" si="4"/>
        <v>0</v>
      </c>
      <c r="K30" s="27">
        <f t="shared" si="4"/>
        <v>0</v>
      </c>
      <c r="L30" s="27">
        <f t="shared" si="1"/>
        <v>8.6199999999999992</v>
      </c>
      <c r="M30" s="19"/>
    </row>
    <row r="31" spans="1:13" ht="36" customHeight="1" x14ac:dyDescent="0.25">
      <c r="A31" s="43" t="s">
        <v>179</v>
      </c>
      <c r="B31" s="25" t="s">
        <v>28</v>
      </c>
      <c r="C31" s="20" t="s">
        <v>32</v>
      </c>
      <c r="D31" s="20" t="s">
        <v>42</v>
      </c>
      <c r="E31" s="20" t="s">
        <v>180</v>
      </c>
      <c r="F31" s="20" t="s">
        <v>35</v>
      </c>
      <c r="G31" s="27">
        <v>0</v>
      </c>
      <c r="H31" s="27">
        <f>ROUND(299.07-39.07+90.252,2)</f>
        <v>350.25</v>
      </c>
      <c r="I31" s="27">
        <v>0</v>
      </c>
      <c r="J31" s="27">
        <v>0</v>
      </c>
      <c r="K31" s="27">
        <v>0</v>
      </c>
      <c r="L31" s="27">
        <f t="shared" si="1"/>
        <v>350.25</v>
      </c>
      <c r="M31" s="19"/>
    </row>
    <row r="32" spans="1:13" ht="184.5" customHeight="1" x14ac:dyDescent="0.25">
      <c r="A32" s="51" t="s">
        <v>165</v>
      </c>
      <c r="B32" s="25" t="s">
        <v>28</v>
      </c>
      <c r="C32" s="20" t="s">
        <v>32</v>
      </c>
      <c r="D32" s="20" t="s">
        <v>42</v>
      </c>
      <c r="E32" s="20" t="s">
        <v>166</v>
      </c>
      <c r="F32" s="20" t="s">
        <v>35</v>
      </c>
      <c r="G32" s="27">
        <v>0</v>
      </c>
      <c r="H32" s="27">
        <v>7900</v>
      </c>
      <c r="I32" s="27">
        <v>0</v>
      </c>
      <c r="J32" s="27">
        <v>0</v>
      </c>
      <c r="K32" s="27">
        <v>0</v>
      </c>
      <c r="L32" s="27">
        <f t="shared" si="1"/>
        <v>7900</v>
      </c>
      <c r="M32" s="19"/>
    </row>
    <row r="33" spans="1:13" ht="57" customHeight="1" x14ac:dyDescent="0.25">
      <c r="A33" s="43" t="s">
        <v>183</v>
      </c>
      <c r="B33" s="25" t="s">
        <v>28</v>
      </c>
      <c r="C33" s="20" t="s">
        <v>32</v>
      </c>
      <c r="D33" s="20" t="s">
        <v>42</v>
      </c>
      <c r="E33" s="20" t="s">
        <v>184</v>
      </c>
      <c r="F33" s="20" t="s">
        <v>35</v>
      </c>
      <c r="G33" s="27">
        <v>0</v>
      </c>
      <c r="H33" s="27">
        <v>45</v>
      </c>
      <c r="I33" s="27">
        <v>0</v>
      </c>
      <c r="J33" s="27">
        <v>0</v>
      </c>
      <c r="K33" s="27">
        <v>0</v>
      </c>
      <c r="L33" s="27">
        <f t="shared" si="1"/>
        <v>45</v>
      </c>
      <c r="M33" s="19"/>
    </row>
    <row r="34" spans="1:13" ht="57.75" customHeight="1" x14ac:dyDescent="0.25">
      <c r="A34" s="43" t="s">
        <v>186</v>
      </c>
      <c r="B34" s="25" t="s">
        <v>28</v>
      </c>
      <c r="C34" s="20" t="s">
        <v>32</v>
      </c>
      <c r="D34" s="20" t="s">
        <v>42</v>
      </c>
      <c r="E34" s="20" t="s">
        <v>187</v>
      </c>
      <c r="F34" s="20" t="s">
        <v>35</v>
      </c>
      <c r="G34" s="27">
        <v>0</v>
      </c>
      <c r="H34" s="27">
        <f>ROUND(54.499,2)</f>
        <v>54.5</v>
      </c>
      <c r="I34" s="27">
        <v>0</v>
      </c>
      <c r="J34" s="27">
        <v>0</v>
      </c>
      <c r="K34" s="27">
        <v>0</v>
      </c>
      <c r="L34" s="27">
        <f t="shared" si="1"/>
        <v>54.5</v>
      </c>
      <c r="M34" s="19"/>
    </row>
    <row r="35" spans="1:13" ht="45" customHeight="1" x14ac:dyDescent="0.25">
      <c r="A35" s="73" t="s">
        <v>189</v>
      </c>
      <c r="B35" s="60" t="s">
        <v>28</v>
      </c>
      <c r="C35" s="20" t="s">
        <v>32</v>
      </c>
      <c r="D35" s="20" t="s">
        <v>42</v>
      </c>
      <c r="E35" s="20" t="s">
        <v>190</v>
      </c>
      <c r="F35" s="20" t="s">
        <v>191</v>
      </c>
      <c r="G35" s="27">
        <v>0</v>
      </c>
      <c r="H35" s="27">
        <v>0</v>
      </c>
      <c r="I35" s="27">
        <v>2.2799999999999998</v>
      </c>
      <c r="J35" s="27">
        <v>0</v>
      </c>
      <c r="K35" s="27">
        <v>0</v>
      </c>
      <c r="L35" s="27">
        <f>SUM(G35:K35)</f>
        <v>2.2799999999999998</v>
      </c>
      <c r="M35" s="19"/>
    </row>
    <row r="36" spans="1:13" ht="44.25" customHeight="1" x14ac:dyDescent="0.25">
      <c r="A36" s="75"/>
      <c r="B36" s="62"/>
      <c r="C36" s="20" t="s">
        <v>32</v>
      </c>
      <c r="D36" s="20" t="s">
        <v>42</v>
      </c>
      <c r="E36" s="20" t="s">
        <v>190</v>
      </c>
      <c r="F36" s="20" t="s">
        <v>192</v>
      </c>
      <c r="G36" s="27">
        <v>0</v>
      </c>
      <c r="H36" s="27">
        <v>0</v>
      </c>
      <c r="I36" s="27">
        <v>0.68899999999999995</v>
      </c>
      <c r="J36" s="27">
        <v>0</v>
      </c>
      <c r="K36" s="27">
        <v>0</v>
      </c>
      <c r="L36" s="27">
        <f>SUM(G36:K36)</f>
        <v>0.68899999999999995</v>
      </c>
      <c r="M36" s="19"/>
    </row>
    <row r="37" spans="1:13" s="15" customFormat="1" ht="14.25" x14ac:dyDescent="0.25">
      <c r="A37" s="52" t="s">
        <v>233</v>
      </c>
      <c r="B37" s="7"/>
      <c r="C37" s="8"/>
      <c r="D37" s="8"/>
      <c r="E37" s="8"/>
      <c r="F37" s="8"/>
      <c r="G37" s="33">
        <f t="shared" ref="G37:L37" si="5">SUM(G38:G41)</f>
        <v>31901.469999999998</v>
      </c>
      <c r="H37" s="33">
        <f t="shared" si="5"/>
        <v>32954.811799999996</v>
      </c>
      <c r="I37" s="33">
        <f>SUM(I38:I41)</f>
        <v>27648.209000000003</v>
      </c>
      <c r="J37" s="33">
        <f t="shared" si="5"/>
        <v>27729.380000000005</v>
      </c>
      <c r="K37" s="33">
        <f t="shared" si="5"/>
        <v>27729.380000000005</v>
      </c>
      <c r="L37" s="33">
        <f t="shared" si="5"/>
        <v>147963.25079999998</v>
      </c>
      <c r="M37" s="33"/>
    </row>
    <row r="38" spans="1:13" s="15" customFormat="1" ht="28.5" customHeight="1" x14ac:dyDescent="0.25">
      <c r="A38" s="53" t="s">
        <v>234</v>
      </c>
      <c r="B38" s="19" t="str">
        <f>B12</f>
        <v>Администрация поселка Дубинино</v>
      </c>
      <c r="C38" s="4"/>
      <c r="D38" s="4"/>
      <c r="E38" s="4"/>
      <c r="F38" s="4"/>
      <c r="G38" s="27">
        <f>G12</f>
        <v>82.09</v>
      </c>
      <c r="H38" s="27">
        <f>H12</f>
        <v>51.16</v>
      </c>
      <c r="I38" s="27">
        <f>I12</f>
        <v>13.7</v>
      </c>
      <c r="J38" s="27">
        <f>J12</f>
        <v>13.7</v>
      </c>
      <c r="K38" s="27">
        <f>K12</f>
        <v>13.7</v>
      </c>
      <c r="L38" s="33">
        <f>SUM(G38:K38)</f>
        <v>174.34999999999997</v>
      </c>
      <c r="M38" s="7"/>
    </row>
    <row r="39" spans="1:13" ht="30" customHeight="1" x14ac:dyDescent="0.25">
      <c r="A39" s="53" t="s">
        <v>235</v>
      </c>
      <c r="B39" s="25" t="str">
        <f>B11</f>
        <v>Администрация поселка Горячегорск</v>
      </c>
      <c r="C39" s="20"/>
      <c r="D39" s="20"/>
      <c r="E39" s="20"/>
      <c r="F39" s="20"/>
      <c r="G39" s="27">
        <f>G11+G21+G22+G24+G30</f>
        <v>925.52</v>
      </c>
      <c r="H39" s="27">
        <f>H11+H21+H22+H24</f>
        <v>966.57999999999993</v>
      </c>
      <c r="I39" s="27">
        <f>I11+I21+I22+I24</f>
        <v>1101.69</v>
      </c>
      <c r="J39" s="27">
        <f>J11+J21+J22+J24</f>
        <v>1101.69</v>
      </c>
      <c r="K39" s="27">
        <f>K11+K21+K22+K24</f>
        <v>1101.69</v>
      </c>
      <c r="L39" s="33">
        <f>SUM(G39:K39)</f>
        <v>5197.17</v>
      </c>
      <c r="M39" s="19"/>
    </row>
    <row r="40" spans="1:13" ht="17.25" customHeight="1" x14ac:dyDescent="0.25">
      <c r="A40" s="53" t="s">
        <v>236</v>
      </c>
      <c r="B40" s="19" t="str">
        <f>B23</f>
        <v>МКУ "СГХ"</v>
      </c>
      <c r="C40" s="20"/>
      <c r="D40" s="20"/>
      <c r="E40" s="20"/>
      <c r="F40" s="20"/>
      <c r="G40" s="27">
        <f>G10+G13+G14+G15+G16+G17+G18+G19+G20+G23+G26+G27+G29+G31+G32+G33+G34+G25</f>
        <v>30070.739999999998</v>
      </c>
      <c r="H40" s="27">
        <f>H10+H13+H14+H15+H16+H17+H18+H19+H20+H23+H26+H27+H29+H31+H32+H33+H34+H25</f>
        <v>28013.991799999996</v>
      </c>
      <c r="I40" s="27">
        <f>I10+I13+I14+I15+I16+I17+I18+I19+I20+I23+I26+I27+I29+I31+I32+I33+I34+I25+I35+I36</f>
        <v>22332.219000000001</v>
      </c>
      <c r="J40" s="27">
        <f>J10+J13+J14+J15+J16+J17+J18+J19+J20+J23+J26+J27+J29+J31+J32+J33+J34+J25</f>
        <v>22413.390000000003</v>
      </c>
      <c r="K40" s="27">
        <f>K10+K13+K14+K15+K16+K17+K18+K19+K20+K23+K26+K27+K29+K31+K32+K33+K34+K25</f>
        <v>22413.390000000003</v>
      </c>
      <c r="L40" s="33">
        <f>SUM(G40:K40)</f>
        <v>125243.73079999999</v>
      </c>
      <c r="M40" s="19"/>
    </row>
    <row r="41" spans="1:13" x14ac:dyDescent="0.25">
      <c r="A41" s="53" t="s">
        <v>237</v>
      </c>
      <c r="B41" s="19" t="s">
        <v>23</v>
      </c>
      <c r="C41" s="20"/>
      <c r="D41" s="20"/>
      <c r="E41" s="20"/>
      <c r="F41" s="20"/>
      <c r="G41" s="27">
        <f>G28</f>
        <v>823.12</v>
      </c>
      <c r="H41" s="27">
        <f>H28</f>
        <v>3923.08</v>
      </c>
      <c r="I41" s="27">
        <f>I28</f>
        <v>4200.6000000000004</v>
      </c>
      <c r="J41" s="27">
        <f>J28</f>
        <v>4200.6000000000004</v>
      </c>
      <c r="K41" s="27">
        <f>K28</f>
        <v>4200.6000000000004</v>
      </c>
      <c r="L41" s="33">
        <f>SUM(G41:K41)</f>
        <v>17348</v>
      </c>
      <c r="M41" s="19"/>
    </row>
    <row r="45" spans="1:13" s="38" customFormat="1" x14ac:dyDescent="0.25">
      <c r="A45" s="38" t="s">
        <v>238</v>
      </c>
      <c r="G45" s="46"/>
      <c r="H45" s="46" t="s">
        <v>200</v>
      </c>
      <c r="I45" s="46"/>
      <c r="J45" s="46"/>
      <c r="K45" s="46"/>
      <c r="L45" s="46"/>
    </row>
    <row r="46" spans="1:13" ht="14.25" customHeight="1" x14ac:dyDescent="0.25"/>
  </sheetData>
  <mergeCells count="18">
    <mergeCell ref="A24:A25"/>
    <mergeCell ref="A35:A36"/>
    <mergeCell ref="B35:B36"/>
    <mergeCell ref="A8:M8"/>
    <mergeCell ref="A10:A12"/>
    <mergeCell ref="A14:A15"/>
    <mergeCell ref="B14:B15"/>
    <mergeCell ref="A17:A22"/>
    <mergeCell ref="B17:B20"/>
    <mergeCell ref="B21:B22"/>
    <mergeCell ref="L1:M1"/>
    <mergeCell ref="L2:M2"/>
    <mergeCell ref="A4:M4"/>
    <mergeCell ref="A6:A7"/>
    <mergeCell ref="B6:B7"/>
    <mergeCell ref="C6:F6"/>
    <mergeCell ref="G6:L6"/>
    <mergeCell ref="M6:M7"/>
  </mergeCells>
  <pageMargins left="0.37" right="0.15748031496062992" top="0.15748031496062992" bottom="0.19685039370078741" header="0.51181102362204722" footer="0.15748031496062992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Приложение №1</vt:lpstr>
      <vt:lpstr>Приложение №2</vt:lpstr>
      <vt:lpstr>приложение №3</vt:lpstr>
      <vt:lpstr>'Приложение №1'!Заголовки_для_печати</vt:lpstr>
      <vt:lpstr>'Приложение №2'!Заголовки_для_печати</vt:lpstr>
      <vt:lpstr>'приложение №3'!Заголовки_для_печати</vt:lpstr>
      <vt:lpstr>'Приложение №1'!Область_печати</vt:lpstr>
      <vt:lpstr>'Приложение №2'!Область_печати</vt:lpstr>
      <vt:lpstr>'приложение №3'!Область_печати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2016-02-17T06:32:32Z</dcterms:modified>
</cp:coreProperties>
</file>