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2" i="1"/>
  <c r="E67"/>
  <c r="F67"/>
  <c r="G67"/>
  <c r="H67"/>
  <c r="I67"/>
  <c r="J67"/>
  <c r="K67"/>
  <c r="L67"/>
  <c r="M67"/>
  <c r="N67"/>
  <c r="O67"/>
  <c r="P67"/>
  <c r="Q67"/>
  <c r="E66"/>
  <c r="F66"/>
  <c r="G66"/>
  <c r="H66"/>
  <c r="I66"/>
  <c r="J66"/>
  <c r="K66"/>
  <c r="L66"/>
  <c r="M66"/>
  <c r="N66"/>
  <c r="O66"/>
  <c r="P66"/>
  <c r="Q66"/>
  <c r="E65"/>
  <c r="F65"/>
  <c r="G65"/>
  <c r="H65"/>
  <c r="I65"/>
  <c r="J65"/>
  <c r="K65"/>
  <c r="L65"/>
  <c r="M65"/>
  <c r="N65"/>
  <c r="O65"/>
  <c r="P65"/>
  <c r="Q65"/>
  <c r="D66"/>
  <c r="C71"/>
  <c r="B8"/>
  <c r="L59" l="1"/>
  <c r="L34"/>
  <c r="L57"/>
  <c r="L55"/>
  <c r="L53"/>
  <c r="L51"/>
  <c r="L49"/>
  <c r="L47"/>
  <c r="L45"/>
  <c r="L43"/>
  <c r="L32"/>
  <c r="L30"/>
  <c r="L28"/>
  <c r="L26"/>
  <c r="L24"/>
  <c r="L22"/>
  <c r="L20"/>
  <c r="L18"/>
  <c r="Q59"/>
  <c r="Q34"/>
  <c r="P59"/>
  <c r="P34"/>
  <c r="O59"/>
  <c r="O34"/>
  <c r="N59"/>
  <c r="N34"/>
  <c r="J59"/>
  <c r="J34"/>
  <c r="I59"/>
  <c r="I34"/>
  <c r="H59"/>
  <c r="H34"/>
  <c r="G59"/>
  <c r="G34"/>
  <c r="F59"/>
  <c r="F34"/>
  <c r="E59"/>
  <c r="E34"/>
  <c r="D59"/>
  <c r="D34"/>
  <c r="Q57"/>
  <c r="Q55"/>
  <c r="Q53"/>
  <c r="Q51"/>
  <c r="Q49"/>
  <c r="Q47"/>
  <c r="Q45"/>
  <c r="Q43"/>
  <c r="Q32"/>
  <c r="P57"/>
  <c r="P55"/>
  <c r="P53"/>
  <c r="P51"/>
  <c r="P49"/>
  <c r="P47"/>
  <c r="P45"/>
  <c r="P43"/>
  <c r="P32"/>
  <c r="O57"/>
  <c r="O55"/>
  <c r="O53"/>
  <c r="O51"/>
  <c r="O49"/>
  <c r="O47"/>
  <c r="O45"/>
  <c r="O43"/>
  <c r="O32"/>
  <c r="N57"/>
  <c r="N55"/>
  <c r="N53"/>
  <c r="N51"/>
  <c r="N49"/>
  <c r="N47"/>
  <c r="N45"/>
  <c r="N43"/>
  <c r="N32"/>
  <c r="J57"/>
  <c r="J55"/>
  <c r="J53"/>
  <c r="J51"/>
  <c r="J49"/>
  <c r="J47"/>
  <c r="J45"/>
  <c r="J43"/>
  <c r="J32"/>
  <c r="I57"/>
  <c r="I55"/>
  <c r="I53"/>
  <c r="I51"/>
  <c r="I49"/>
  <c r="I47"/>
  <c r="I45"/>
  <c r="I43"/>
  <c r="I32"/>
  <c r="H57"/>
  <c r="H55"/>
  <c r="H53"/>
  <c r="H51"/>
  <c r="H49"/>
  <c r="H47"/>
  <c r="H45"/>
  <c r="H43"/>
  <c r="H32"/>
  <c r="G57"/>
  <c r="G55"/>
  <c r="G53"/>
  <c r="G51"/>
  <c r="G49"/>
  <c r="G47"/>
  <c r="G45"/>
  <c r="G43"/>
  <c r="G32"/>
  <c r="F57"/>
  <c r="F55"/>
  <c r="F53"/>
  <c r="F51"/>
  <c r="F49"/>
  <c r="F47"/>
  <c r="F45"/>
  <c r="F43"/>
  <c r="F32"/>
  <c r="E57"/>
  <c r="E55"/>
  <c r="E53"/>
  <c r="E51"/>
  <c r="E49"/>
  <c r="E47"/>
  <c r="E45"/>
  <c r="E43"/>
  <c r="E32"/>
  <c r="Q30"/>
  <c r="Q28"/>
  <c r="Q26"/>
  <c r="Q24"/>
  <c r="Q22"/>
  <c r="Q20"/>
  <c r="Q18"/>
  <c r="P30"/>
  <c r="P28"/>
  <c r="P26"/>
  <c r="P24"/>
  <c r="P22"/>
  <c r="P20"/>
  <c r="P18"/>
  <c r="O30"/>
  <c r="O28"/>
  <c r="O26"/>
  <c r="O24"/>
  <c r="O22"/>
  <c r="O20"/>
  <c r="O18"/>
  <c r="N30"/>
  <c r="N28"/>
  <c r="N26"/>
  <c r="N24"/>
  <c r="N22"/>
  <c r="N20"/>
  <c r="N18"/>
  <c r="J18"/>
  <c r="J20"/>
  <c r="J22"/>
  <c r="J24"/>
  <c r="J26"/>
  <c r="J28"/>
  <c r="J30"/>
  <c r="I30"/>
  <c r="I28"/>
  <c r="I26"/>
  <c r="I24"/>
  <c r="I22"/>
  <c r="I20"/>
  <c r="I18"/>
  <c r="H30"/>
  <c r="H28"/>
  <c r="H26"/>
  <c r="H24"/>
  <c r="H22"/>
  <c r="H20"/>
  <c r="H18"/>
  <c r="G30"/>
  <c r="G28"/>
  <c r="G26"/>
  <c r="G24"/>
  <c r="G22"/>
  <c r="G20"/>
  <c r="G18"/>
  <c r="F30"/>
  <c r="F28"/>
  <c r="F26"/>
  <c r="F24"/>
  <c r="F22"/>
  <c r="F20"/>
  <c r="F18"/>
  <c r="E30"/>
  <c r="E28"/>
  <c r="E26"/>
  <c r="E24"/>
  <c r="E22"/>
  <c r="E20"/>
  <c r="E18"/>
  <c r="D57"/>
  <c r="D55"/>
  <c r="D53"/>
  <c r="D51"/>
  <c r="D49"/>
  <c r="D47"/>
  <c r="D45"/>
  <c r="D43"/>
  <c r="D32"/>
  <c r="D30"/>
  <c r="D28"/>
  <c r="D26"/>
  <c r="D24"/>
  <c r="D20"/>
  <c r="D18"/>
  <c r="L27" l="1"/>
  <c r="K21"/>
  <c r="L21"/>
  <c r="K19"/>
  <c r="L19"/>
  <c r="J44"/>
  <c r="N50"/>
  <c r="J21"/>
  <c r="J19"/>
  <c r="I21"/>
  <c r="I19"/>
  <c r="Q21" l="1"/>
  <c r="Q19"/>
  <c r="P21" l="1"/>
  <c r="P19"/>
  <c r="O21" l="1"/>
  <c r="O19"/>
  <c r="N21"/>
  <c r="N19"/>
  <c r="H21"/>
  <c r="H19"/>
  <c r="G21"/>
  <c r="G19"/>
  <c r="F21"/>
  <c r="F19"/>
  <c r="D21"/>
  <c r="D19"/>
  <c r="E21"/>
  <c r="E19"/>
  <c r="E60"/>
  <c r="F60"/>
  <c r="G60"/>
  <c r="H60"/>
  <c r="I60"/>
  <c r="J60"/>
  <c r="K60"/>
  <c r="L60"/>
  <c r="M60"/>
  <c r="N60"/>
  <c r="O60"/>
  <c r="P60"/>
  <c r="Q60"/>
  <c r="D60"/>
  <c r="D81"/>
  <c r="D76"/>
  <c r="D44"/>
  <c r="E58"/>
  <c r="F58"/>
  <c r="G58"/>
  <c r="H58"/>
  <c r="I58"/>
  <c r="J58"/>
  <c r="K58"/>
  <c r="L58"/>
  <c r="M58"/>
  <c r="N58"/>
  <c r="O58"/>
  <c r="P58"/>
  <c r="Q58"/>
  <c r="D58"/>
  <c r="G56"/>
  <c r="F56"/>
  <c r="E56"/>
  <c r="H56"/>
  <c r="I56"/>
  <c r="J56"/>
  <c r="K56"/>
  <c r="L56"/>
  <c r="M56"/>
  <c r="N56"/>
  <c r="O56"/>
  <c r="P56"/>
  <c r="Q56"/>
  <c r="D56"/>
  <c r="E54"/>
  <c r="F54"/>
  <c r="G54"/>
  <c r="H54"/>
  <c r="I54"/>
  <c r="J54"/>
  <c r="K54"/>
  <c r="L54"/>
  <c r="M54"/>
  <c r="N54"/>
  <c r="O54"/>
  <c r="P54"/>
  <c r="Q54"/>
  <c r="D54"/>
  <c r="E52"/>
  <c r="F52"/>
  <c r="G52"/>
  <c r="H52"/>
  <c r="I52"/>
  <c r="J52"/>
  <c r="K52"/>
  <c r="L52"/>
  <c r="M52"/>
  <c r="N52"/>
  <c r="O52"/>
  <c r="P52"/>
  <c r="Q52"/>
  <c r="D52"/>
  <c r="E50"/>
  <c r="F50"/>
  <c r="G50"/>
  <c r="H50"/>
  <c r="I50"/>
  <c r="J50"/>
  <c r="K50"/>
  <c r="L50"/>
  <c r="M50"/>
  <c r="O50"/>
  <c r="P50"/>
  <c r="Q50"/>
  <c r="D50"/>
  <c r="E48"/>
  <c r="F48"/>
  <c r="G48"/>
  <c r="H48"/>
  <c r="I48"/>
  <c r="J48"/>
  <c r="K48"/>
  <c r="L48"/>
  <c r="M48"/>
  <c r="N48"/>
  <c r="O48"/>
  <c r="P48"/>
  <c r="Q48"/>
  <c r="D48"/>
  <c r="E46"/>
  <c r="F46"/>
  <c r="G46"/>
  <c r="H46"/>
  <c r="I46"/>
  <c r="J46"/>
  <c r="K46"/>
  <c r="L46"/>
  <c r="M46"/>
  <c r="N46"/>
  <c r="O46"/>
  <c r="P46"/>
  <c r="Q46"/>
  <c r="D46"/>
  <c r="E44"/>
  <c r="F44"/>
  <c r="G44"/>
  <c r="H44"/>
  <c r="I44"/>
  <c r="K44"/>
  <c r="L44"/>
  <c r="M44"/>
  <c r="N44"/>
  <c r="O44"/>
  <c r="P44"/>
  <c r="Q44"/>
  <c r="E40"/>
  <c r="F40"/>
  <c r="G40"/>
  <c r="H40"/>
  <c r="I40"/>
  <c r="J40"/>
  <c r="K40"/>
  <c r="L40"/>
  <c r="M40"/>
  <c r="N40"/>
  <c r="O40"/>
  <c r="P40"/>
  <c r="Q40"/>
  <c r="D40"/>
  <c r="E33"/>
  <c r="F33"/>
  <c r="G33"/>
  <c r="H33"/>
  <c r="I33"/>
  <c r="J33"/>
  <c r="K33"/>
  <c r="L33"/>
  <c r="M33"/>
  <c r="N33"/>
  <c r="O33"/>
  <c r="P33"/>
  <c r="Q33"/>
  <c r="D33"/>
  <c r="E31"/>
  <c r="F31"/>
  <c r="G31"/>
  <c r="H31"/>
  <c r="I31"/>
  <c r="J31"/>
  <c r="K31"/>
  <c r="L31"/>
  <c r="M31"/>
  <c r="N31"/>
  <c r="O31"/>
  <c r="P31"/>
  <c r="Q31"/>
  <c r="D31"/>
  <c r="E29"/>
  <c r="F29"/>
  <c r="G29"/>
  <c r="H29"/>
  <c r="I29"/>
  <c r="J29"/>
  <c r="K29"/>
  <c r="L29"/>
  <c r="M29"/>
  <c r="N29"/>
  <c r="O29"/>
  <c r="P29"/>
  <c r="Q29"/>
  <c r="D29"/>
  <c r="E27"/>
  <c r="F27"/>
  <c r="G27"/>
  <c r="H27"/>
  <c r="I27"/>
  <c r="J27"/>
  <c r="K27"/>
  <c r="M27"/>
  <c r="N27"/>
  <c r="O27"/>
  <c r="P27"/>
  <c r="Q27"/>
  <c r="D27"/>
  <c r="E25"/>
  <c r="F25"/>
  <c r="G25"/>
  <c r="H25"/>
  <c r="I25"/>
  <c r="J25"/>
  <c r="K25"/>
  <c r="L25"/>
  <c r="M25"/>
  <c r="N25"/>
  <c r="O25"/>
  <c r="P25"/>
  <c r="Q25"/>
  <c r="D25"/>
  <c r="E23"/>
  <c r="F23"/>
  <c r="G23"/>
  <c r="H23"/>
  <c r="I23"/>
  <c r="J23"/>
  <c r="K23"/>
  <c r="L23"/>
  <c r="M23"/>
  <c r="N23"/>
  <c r="O23"/>
  <c r="P23"/>
  <c r="Q23"/>
  <c r="D23"/>
  <c r="D37"/>
  <c r="D38"/>
  <c r="D39"/>
  <c r="Q41" l="1"/>
  <c r="M41"/>
  <c r="I41"/>
  <c r="P41"/>
  <c r="L41"/>
  <c r="L75" s="1"/>
  <c r="L77" s="1"/>
  <c r="J41"/>
  <c r="N41"/>
  <c r="G41"/>
  <c r="G75" s="1"/>
  <c r="G77" s="1"/>
  <c r="K41"/>
  <c r="K75" s="1"/>
  <c r="K77" s="1"/>
  <c r="E41"/>
  <c r="F41"/>
  <c r="H41"/>
  <c r="O41"/>
  <c r="H61"/>
  <c r="H80" s="1"/>
  <c r="H82" s="1"/>
  <c r="D61"/>
  <c r="D80" s="1"/>
  <c r="P61"/>
  <c r="P80" s="1"/>
  <c r="P82" s="1"/>
  <c r="L61"/>
  <c r="L80" s="1"/>
  <c r="L82" s="1"/>
  <c r="D41"/>
  <c r="D65" s="1"/>
  <c r="O61"/>
  <c r="O80" s="1"/>
  <c r="O82" s="1"/>
  <c r="K61"/>
  <c r="G61"/>
  <c r="G80" s="1"/>
  <c r="G82" s="1"/>
  <c r="Q61"/>
  <c r="Q80" s="1"/>
  <c r="Q82" s="1"/>
  <c r="M61"/>
  <c r="M80" s="1"/>
  <c r="M82" s="1"/>
  <c r="I61"/>
  <c r="I80" s="1"/>
  <c r="I82" s="1"/>
  <c r="E61"/>
  <c r="E80" s="1"/>
  <c r="E82" s="1"/>
  <c r="N61"/>
  <c r="N80" s="1"/>
  <c r="J61"/>
  <c r="J80" s="1"/>
  <c r="F61"/>
  <c r="F80" s="1"/>
  <c r="C37"/>
  <c r="K62" l="1"/>
  <c r="L62"/>
  <c r="G62"/>
  <c r="K80"/>
  <c r="K82" s="1"/>
  <c r="K86" s="1"/>
  <c r="L85"/>
  <c r="L86"/>
  <c r="M75"/>
  <c r="M77" s="1"/>
  <c r="M86" s="1"/>
  <c r="M62"/>
  <c r="I75"/>
  <c r="I77" s="1"/>
  <c r="I86" s="1"/>
  <c r="I62"/>
  <c r="Q75"/>
  <c r="Q77" s="1"/>
  <c r="Q86" s="1"/>
  <c r="Q62"/>
  <c r="P75"/>
  <c r="P62"/>
  <c r="O75"/>
  <c r="O77" s="1"/>
  <c r="O86" s="1"/>
  <c r="O62"/>
  <c r="N75"/>
  <c r="N77" s="1"/>
  <c r="N62"/>
  <c r="J75"/>
  <c r="J77" s="1"/>
  <c r="J62"/>
  <c r="H75"/>
  <c r="H62"/>
  <c r="F75"/>
  <c r="F77" s="1"/>
  <c r="F62"/>
  <c r="E75"/>
  <c r="E77" s="1"/>
  <c r="E86" s="1"/>
  <c r="E62"/>
  <c r="D75"/>
  <c r="D77" s="1"/>
  <c r="D62"/>
  <c r="D67" s="1"/>
  <c r="G86"/>
  <c r="F82"/>
  <c r="J82"/>
  <c r="D82"/>
  <c r="N82"/>
  <c r="G85"/>
  <c r="M85"/>
  <c r="C39"/>
  <c r="C38"/>
  <c r="I85" l="1"/>
  <c r="K85"/>
  <c r="Q85"/>
  <c r="P77"/>
  <c r="P86" s="1"/>
  <c r="P85"/>
  <c r="O85"/>
  <c r="N86"/>
  <c r="N85"/>
  <c r="J86"/>
  <c r="J85"/>
  <c r="H85"/>
  <c r="H77"/>
  <c r="H86" s="1"/>
  <c r="F86"/>
  <c r="F85"/>
  <c r="E85"/>
  <c r="D86"/>
  <c r="D85"/>
</calcChain>
</file>

<file path=xl/sharedStrings.xml><?xml version="1.0" encoding="utf-8"?>
<sst xmlns="http://schemas.openxmlformats.org/spreadsheetml/2006/main" count="131" uniqueCount="99">
  <si>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</si>
  <si>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</si>
  <si>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</si>
  <si>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</si>
  <si>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</si>
  <si>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на 1 м.п.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</si>
  <si>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</si>
  <si>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</si>
  <si>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</si>
  <si>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</si>
  <si>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</si>
  <si>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</si>
  <si>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</si>
  <si>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</si>
  <si>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</si>
  <si>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</si>
  <si>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</si>
  <si>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</si>
  <si>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</si>
  <si>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</si>
  <si>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</si>
  <si>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</si>
  <si>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</si>
  <si>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</si>
  <si>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</si>
  <si>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</si>
  <si>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 xml:space="preserve">на 1 м2                 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</si>
  <si>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</si>
  <si>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</si>
  <si>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</si>
  <si>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</si>
  <si>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</si>
  <si>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</si>
  <si>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</si>
  <si>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</si>
  <si>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</si>
  <si>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детского игрового комплекса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</si>
  <si>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</si>
  <si>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</si>
  <si>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</si>
  <si>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>за 1 тонну</t>
  </si>
  <si>
    <t xml:space="preserve">Минимальный перечень </t>
  </si>
  <si>
    <t>№ п/п</t>
  </si>
  <si>
    <t>Установка песочницы с крышкой и навесом</t>
  </si>
  <si>
    <t>Площадь асфальтирования, кв.м</t>
  </si>
  <si>
    <t>Длина бордюрного камня, м.п.</t>
  </si>
  <si>
    <t>Протяженность, м.п.</t>
  </si>
  <si>
    <t>Масса груза, т</t>
  </si>
  <si>
    <t>Площадь, кв.м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</si>
  <si>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</si>
  <si>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</si>
  <si>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</si>
  <si>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</si>
  <si>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</si>
  <si>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</si>
  <si>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</si>
  <si>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</si>
  <si>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</si>
  <si>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</si>
  <si>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</si>
  <si>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</si>
  <si>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</si>
  <si>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</si>
  <si>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</si>
  <si>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</si>
  <si>
    <t>Размер дома (ширина х длина)</t>
  </si>
  <si>
    <t xml:space="preserve">Этажность </t>
  </si>
  <si>
    <t xml:space="preserve">Количество квартир </t>
  </si>
  <si>
    <t xml:space="preserve">Количество подъездов </t>
  </si>
  <si>
    <t xml:space="preserve">Площадь помещений МКД </t>
  </si>
  <si>
    <t xml:space="preserve">Площадь придомовой территории </t>
  </si>
  <si>
    <t xml:space="preserve">Площадь входа в подъезд </t>
  </si>
  <si>
    <t>12м х 40м</t>
  </si>
  <si>
    <t xml:space="preserve">642 кв.м </t>
  </si>
  <si>
    <t>200 кв.м                    (5м х 40м)</t>
  </si>
  <si>
    <t>10 кв.м.                     (2,5м х 2м)</t>
  </si>
  <si>
    <t>Демонтаж бордюрного камня</t>
  </si>
  <si>
    <t xml:space="preserve">Разборка покрытий асфальтобетонных </t>
  </si>
  <si>
    <t>Площадь разборки , кв.м</t>
  </si>
  <si>
    <t>Асфальтирование,                    t = 8 см</t>
  </si>
  <si>
    <t>Устройство песчаного основания (с учетом дренажного слоя из щебня)  под детскую/ спортивную площадку</t>
  </si>
  <si>
    <t xml:space="preserve">Калькулятор определения стоимости благоустройства дворовой территории </t>
  </si>
  <si>
    <t xml:space="preserve"> Калькулятор расчета суммы финансового участия собственников </t>
  </si>
  <si>
    <t>по минимальному перечню</t>
  </si>
  <si>
    <t>по дополнительному переченю</t>
  </si>
  <si>
    <t>по минимальному и дополнительному переченю</t>
  </si>
  <si>
    <t xml:space="preserve">Параметры многоквартирного дома </t>
  </si>
  <si>
    <t xml:space="preserve">Параметры видов работ по благоустройству </t>
  </si>
  <si>
    <t>Площадь помещений МКД, м2</t>
  </si>
  <si>
    <t>Площадь придомовой территории, м2</t>
  </si>
  <si>
    <t>Площадь входа в подъезд, м2</t>
  </si>
  <si>
    <t>Площаль асфальтирования, м2</t>
  </si>
  <si>
    <t>Длина бордюрного камня, м. п.</t>
  </si>
  <si>
    <t>Количество урн, шт.</t>
  </si>
  <si>
    <t>Количество скамеек, шт.</t>
  </si>
  <si>
    <t>Количество светильников, шт.</t>
  </si>
  <si>
    <t>Площадь детской / спортивной площадки, м2</t>
  </si>
  <si>
    <t>Таблица 1.1 - Расчет стоимости благоустройства дворовой территории  дома по минимальному и дополнительному перечням для зон сметного ценообразования Красноярского края</t>
  </si>
  <si>
    <r>
      <t xml:space="preserve">Стоимость 1 м2 </t>
    </r>
    <r>
      <rPr>
        <b/>
        <sz val="18"/>
        <rFont val="Times New Roman"/>
        <family val="1"/>
        <charset val="204"/>
      </rPr>
      <t>придворовой территории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</si>
</sst>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/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1"/>
  <sheetViews>
    <sheetView showGridLines="0" tabSelected="1" view="pageBreakPreview" zoomScale="70" zoomScaleNormal="100" zoomScaleSheetLayoutView="70" workbookViewId="0">
      <selection activeCell="I6" sqref="I6"/>
    </sheetView>
  </sheetViews>
  <sheetFormatPr defaultRowHeight="15"/>
  <cols>
    <col min="1" max="1" width="7" customWidth="1"/>
    <col min="2" max="2" width="28.5703125" customWidth="1"/>
    <col min="3" max="3" width="22.42578125" customWidth="1"/>
    <col min="4" max="4" width="24.28515625" customWidth="1"/>
    <col min="5" max="5" width="20.42578125" customWidth="1"/>
    <col min="6" max="6" width="19.140625" customWidth="1"/>
    <col min="7" max="7" width="22.7109375" customWidth="1"/>
    <col min="8" max="8" width="23.7109375" customWidth="1"/>
    <col min="9" max="9" width="20.7109375" customWidth="1"/>
    <col min="10" max="10" width="24.7109375" customWidth="1"/>
    <col min="11" max="11" width="20.7109375" hidden="1" customWidth="1"/>
    <col min="12" max="12" width="23.42578125" customWidth="1"/>
    <col min="13" max="13" width="20.7109375" hidden="1" customWidth="1"/>
    <col min="14" max="14" width="22.7109375" customWidth="1"/>
    <col min="15" max="15" width="25.5703125" customWidth="1"/>
    <col min="16" max="16" width="23.28515625" customWidth="1"/>
    <col min="17" max="17" width="23.140625" customWidth="1"/>
  </cols>
  <sheetData>
    <row r="1" spans="1:17" ht="70.5" customHeight="1">
      <c r="B1" s="69" t="s">
        <v>97</v>
      </c>
      <c r="C1" s="70"/>
      <c r="D1" s="70"/>
      <c r="E1" s="70"/>
      <c r="F1" s="70"/>
      <c r="G1" s="70"/>
      <c r="H1" s="70"/>
      <c r="I1" s="70"/>
      <c r="J1" s="70"/>
    </row>
    <row r="2" spans="1:17" ht="22.5">
      <c r="A2" s="47"/>
      <c r="B2" s="54" t="s">
        <v>86</v>
      </c>
      <c r="C2" s="54"/>
      <c r="D2" s="54"/>
      <c r="E2" s="54"/>
      <c r="F2" s="54"/>
      <c r="G2" s="54"/>
      <c r="H2" s="47"/>
    </row>
    <row r="3" spans="1:17" ht="56.25">
      <c r="B3" s="40" t="s">
        <v>65</v>
      </c>
      <c r="C3" s="40" t="s">
        <v>66</v>
      </c>
      <c r="D3" s="40" t="s">
        <v>67</v>
      </c>
      <c r="E3" s="40" t="s">
        <v>68</v>
      </c>
      <c r="F3" s="40" t="s">
        <v>88</v>
      </c>
      <c r="G3" s="40" t="s">
        <v>89</v>
      </c>
      <c r="H3" s="40" t="s">
        <v>90</v>
      </c>
    </row>
    <row r="4" spans="1:17" ht="18.75">
      <c r="B4" s="8" t="s">
        <v>72</v>
      </c>
      <c r="C4" s="8">
        <v>2</v>
      </c>
      <c r="D4" s="8">
        <v>16</v>
      </c>
      <c r="E4" s="8">
        <v>2</v>
      </c>
      <c r="F4" s="9">
        <v>642</v>
      </c>
      <c r="G4" s="8">
        <v>200</v>
      </c>
      <c r="H4" s="8">
        <v>10</v>
      </c>
    </row>
    <row r="5" spans="1:17" ht="18.75">
      <c r="B5" s="45"/>
      <c r="C5" s="45"/>
      <c r="D5" s="45"/>
      <c r="E5" s="45"/>
      <c r="F5" s="45"/>
      <c r="G5" s="45"/>
      <c r="H5" s="48"/>
    </row>
    <row r="6" spans="1:17" ht="22.5">
      <c r="B6" s="54" t="s">
        <v>87</v>
      </c>
      <c r="C6" s="54"/>
      <c r="D6" s="54"/>
      <c r="E6" s="54"/>
      <c r="F6" s="54"/>
      <c r="G6" s="54"/>
      <c r="H6" s="48"/>
    </row>
    <row r="7" spans="1:17" ht="75">
      <c r="B7" s="40" t="s">
        <v>91</v>
      </c>
      <c r="C7" s="40" t="s">
        <v>92</v>
      </c>
      <c r="D7" s="40" t="s">
        <v>93</v>
      </c>
      <c r="E7" s="40" t="s">
        <v>94</v>
      </c>
      <c r="F7" s="40" t="s">
        <v>95</v>
      </c>
      <c r="G7" s="40" t="s">
        <v>96</v>
      </c>
      <c r="H7" s="48"/>
    </row>
    <row r="8" spans="1:17" ht="18.75">
      <c r="B8" s="8">
        <f>G4+H4</f>
        <v>210</v>
      </c>
      <c r="C8" s="8">
        <v>76</v>
      </c>
      <c r="D8" s="8">
        <v>2</v>
      </c>
      <c r="E8" s="8">
        <v>2</v>
      </c>
      <c r="F8" s="8">
        <v>2</v>
      </c>
      <c r="G8" s="8">
        <v>100</v>
      </c>
    </row>
    <row r="11" spans="1:17" ht="45.75" customHeight="1">
      <c r="A11" s="71" t="s">
        <v>81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ht="61.5" hidden="1" customHeight="1">
      <c r="B12" s="27" t="s">
        <v>65</v>
      </c>
      <c r="C12" s="27" t="s">
        <v>66</v>
      </c>
      <c r="D12" s="27" t="s">
        <v>67</v>
      </c>
      <c r="E12" s="27" t="s">
        <v>68</v>
      </c>
      <c r="F12" s="27" t="s">
        <v>69</v>
      </c>
      <c r="G12" s="27" t="s">
        <v>70</v>
      </c>
      <c r="H12" s="27" t="s">
        <v>71</v>
      </c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2.75" hidden="1" customHeight="1">
      <c r="B13" s="8" t="s">
        <v>72</v>
      </c>
      <c r="C13" s="8">
        <v>2</v>
      </c>
      <c r="D13" s="8">
        <v>16</v>
      </c>
      <c r="E13" s="8">
        <v>2</v>
      </c>
      <c r="F13" s="9" t="s">
        <v>73</v>
      </c>
      <c r="G13" s="8" t="s">
        <v>74</v>
      </c>
      <c r="H13" s="8" t="s">
        <v>75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3.6" customHeight="1">
      <c r="A14" s="57" t="s">
        <v>42</v>
      </c>
      <c r="B14" s="59" t="s">
        <v>1</v>
      </c>
      <c r="C14" s="59" t="s">
        <v>31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ht="112.5">
      <c r="A15" s="57"/>
      <c r="B15" s="59"/>
      <c r="C15" s="25" t="s">
        <v>2</v>
      </c>
      <c r="D15" s="25" t="s">
        <v>12</v>
      </c>
      <c r="E15" s="25" t="s">
        <v>17</v>
      </c>
      <c r="F15" s="25" t="s">
        <v>19</v>
      </c>
      <c r="G15" s="25" t="s">
        <v>18</v>
      </c>
      <c r="H15" s="25" t="s">
        <v>20</v>
      </c>
      <c r="I15" s="25" t="s">
        <v>13</v>
      </c>
      <c r="J15" s="25" t="s">
        <v>21</v>
      </c>
      <c r="K15" s="25" t="s">
        <v>14</v>
      </c>
      <c r="L15" s="38" t="s">
        <v>16</v>
      </c>
      <c r="M15" s="25" t="s">
        <v>15</v>
      </c>
      <c r="N15" s="25" t="s">
        <v>22</v>
      </c>
      <c r="O15" s="25" t="s">
        <v>25</v>
      </c>
      <c r="P15" s="25" t="s">
        <v>23</v>
      </c>
      <c r="Q15" s="25" t="s">
        <v>24</v>
      </c>
    </row>
    <row r="16" spans="1:17" ht="18.75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</row>
    <row r="17" spans="1:17" s="13" customFormat="1" ht="26.25" customHeight="1">
      <c r="A17" s="58" t="s">
        <v>41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s="13" customFormat="1" ht="38.25" customHeight="1">
      <c r="A18" s="28">
        <v>1</v>
      </c>
      <c r="B18" s="7" t="s">
        <v>76</v>
      </c>
      <c r="C18" s="8" t="s">
        <v>5</v>
      </c>
      <c r="D18" s="10">
        <f>316.15/7.61*8.73</f>
        <v>362.67930354796317</v>
      </c>
      <c r="E18" s="10">
        <f>310.7/7.55*8.67</f>
        <v>356.79059602649011</v>
      </c>
      <c r="F18" s="10">
        <f>319.68/7.46*8.51</f>
        <v>364.67517426273463</v>
      </c>
      <c r="G18" s="10">
        <f>319.54/7.44*8.49</f>
        <v>364.63637096774198</v>
      </c>
      <c r="H18" s="10">
        <f>318.1/7.39*8.41</f>
        <v>362.00554803788907</v>
      </c>
      <c r="I18" s="10">
        <f>332.21/7.69*8.95</f>
        <v>386.64232769830943</v>
      </c>
      <c r="J18" s="10">
        <f>339.12/7.85*9.18</f>
        <v>396.57600000000002</v>
      </c>
      <c r="K18" s="37"/>
      <c r="L18" s="10">
        <f>399.18/8.48*10.03</f>
        <v>472.14332547169806</v>
      </c>
      <c r="M18" s="37"/>
      <c r="N18" s="10">
        <f>397.96/8.75*10.28</f>
        <v>467.54614857142855</v>
      </c>
      <c r="O18" s="10">
        <f>359.38/8.07*9.36</f>
        <v>416.82736059479555</v>
      </c>
      <c r="P18" s="10">
        <f>407.5/9.07*10.71</f>
        <v>481.1824696802646</v>
      </c>
      <c r="Q18" s="10">
        <f>370.3/8.17*9.46</f>
        <v>428.7684210526316</v>
      </c>
    </row>
    <row r="19" spans="1:17" s="13" customFormat="1" ht="26.25" customHeight="1">
      <c r="A19" s="56" t="s">
        <v>45</v>
      </c>
      <c r="B19" s="56"/>
      <c r="C19" s="22">
        <v>76</v>
      </c>
      <c r="D19" s="10">
        <f>$C$19*D18</f>
        <v>27563.627069645201</v>
      </c>
      <c r="E19" s="10">
        <f>E18*$C$19</f>
        <v>27116.085298013248</v>
      </c>
      <c r="F19" s="10">
        <f>$C$19*F18</f>
        <v>27715.31324396783</v>
      </c>
      <c r="G19" s="10">
        <f>$C$19*G18</f>
        <v>27712.36419354839</v>
      </c>
      <c r="H19" s="10">
        <f>$C$19*H18</f>
        <v>27512.421650879569</v>
      </c>
      <c r="I19" s="10">
        <f>$C$19*I18</f>
        <v>29384.816905071515</v>
      </c>
      <c r="J19" s="10">
        <f>$C$19*J18</f>
        <v>30139.776000000002</v>
      </c>
      <c r="K19" s="10">
        <f t="shared" ref="K19:L19" si="0">$C$19*K18</f>
        <v>0</v>
      </c>
      <c r="L19" s="10">
        <f t="shared" si="0"/>
        <v>35882.892735849055</v>
      </c>
      <c r="M19" s="37"/>
      <c r="N19" s="10">
        <f>$C$19*N18</f>
        <v>35533.50729142857</v>
      </c>
      <c r="O19" s="10">
        <f>$C$19*O18</f>
        <v>31678.879405204461</v>
      </c>
      <c r="P19" s="10">
        <f>$C$19*P18</f>
        <v>36569.867695700108</v>
      </c>
      <c r="Q19" s="10">
        <f>$C$19*Q18</f>
        <v>32586.400000000001</v>
      </c>
    </row>
    <row r="20" spans="1:17" s="13" customFormat="1" ht="48.75" customHeight="1">
      <c r="A20" s="8">
        <v>2</v>
      </c>
      <c r="B20" s="8" t="s">
        <v>77</v>
      </c>
      <c r="C20" s="8" t="s">
        <v>26</v>
      </c>
      <c r="D20" s="10">
        <f>100.45/7.61*8.73</f>
        <v>115.23370565045992</v>
      </c>
      <c r="E20" s="10">
        <f>98.66/7.55*8.67</f>
        <v>113.29565562913906</v>
      </c>
      <c r="F20" s="10">
        <f>101.87/7.46*8.51</f>
        <v>116.2082707774799</v>
      </c>
      <c r="G20" s="10">
        <f>101.87/7.44*8.49</f>
        <v>116.24681451612904</v>
      </c>
      <c r="H20" s="10">
        <f>101.45/7.39*8.41</f>
        <v>115.4525710419486</v>
      </c>
      <c r="I20" s="10">
        <f>106.4/7.69*8.95</f>
        <v>123.83355006501949</v>
      </c>
      <c r="J20" s="10">
        <f>108.61/7.85*9.18</f>
        <v>127.01143949044585</v>
      </c>
      <c r="K20" s="37"/>
      <c r="L20" s="10">
        <f>129/8.48*10.03</f>
        <v>152.57900943396226</v>
      </c>
      <c r="M20" s="37"/>
      <c r="N20" s="10">
        <f>128.32/8.75*10.28</f>
        <v>150.75766857142855</v>
      </c>
      <c r="O20" s="10">
        <f>115.54/8.07*9.36</f>
        <v>134.00921933085502</v>
      </c>
      <c r="P20" s="10">
        <f>131.15/9.07*10.71</f>
        <v>154.86400220507167</v>
      </c>
      <c r="Q20" s="10">
        <f>119.41/8.17*9.46</f>
        <v>138.26421052631579</v>
      </c>
    </row>
    <row r="21" spans="1:17" s="13" customFormat="1" ht="35.25" customHeight="1">
      <c r="A21" s="56" t="s">
        <v>78</v>
      </c>
      <c r="B21" s="56"/>
      <c r="C21" s="22">
        <v>210</v>
      </c>
      <c r="D21" s="10">
        <f>$C$21*D20</f>
        <v>24199.078186596584</v>
      </c>
      <c r="E21" s="10">
        <f>$C$21*E20</f>
        <v>23792.087682119203</v>
      </c>
      <c r="F21" s="10">
        <f>$C$21*F20</f>
        <v>24403.736863270777</v>
      </c>
      <c r="G21" s="10">
        <f>G20*$C$21</f>
        <v>24411.831048387099</v>
      </c>
      <c r="H21" s="10">
        <f>$C$21*H20</f>
        <v>24245.039918809205</v>
      </c>
      <c r="I21" s="10">
        <f>$C$21*I20</f>
        <v>26005.045513654095</v>
      </c>
      <c r="J21" s="10">
        <f>$C$21*J20</f>
        <v>26672.402292993629</v>
      </c>
      <c r="K21" s="10">
        <f t="shared" ref="K21:L21" si="1">$C$21*K20</f>
        <v>0</v>
      </c>
      <c r="L21" s="10">
        <f t="shared" si="1"/>
        <v>32041.591981132075</v>
      </c>
      <c r="M21" s="37"/>
      <c r="N21" s="10">
        <f>$C$21*N20</f>
        <v>31659.110399999998</v>
      </c>
      <c r="O21" s="10">
        <f>$C$21*O20</f>
        <v>28141.936059479554</v>
      </c>
      <c r="P21" s="10">
        <f>$C$21*P20</f>
        <v>32521.44046306505</v>
      </c>
      <c r="Q21" s="10">
        <f>$C$21*Q20</f>
        <v>29035.484210526316</v>
      </c>
    </row>
    <row r="22" spans="1:17" ht="40.15" customHeight="1">
      <c r="A22" s="20">
        <v>3</v>
      </c>
      <c r="B22" s="7" t="s">
        <v>79</v>
      </c>
      <c r="C22" s="8" t="s">
        <v>26</v>
      </c>
      <c r="D22" s="11">
        <f>1216.3/7.61*8.73</f>
        <v>1395.3086727989487</v>
      </c>
      <c r="E22" s="11">
        <f>1059.3/7.55*8.67</f>
        <v>1216.4411920529801</v>
      </c>
      <c r="F22" s="11">
        <f>1208.7/7.46*8.51</f>
        <v>1378.8253351206436</v>
      </c>
      <c r="G22" s="11">
        <f>1272.34/7.44*8.49</f>
        <v>1451.9041129032257</v>
      </c>
      <c r="H22" s="10">
        <f>1216.25/7.39*8.41</f>
        <v>1384.1221244925578</v>
      </c>
      <c r="I22" s="10">
        <f>3236.26/7.69*8.95</f>
        <v>3766.5184655396615</v>
      </c>
      <c r="J22" s="11">
        <f>3303.6/7.85*9.18</f>
        <v>3863.3182165605094</v>
      </c>
      <c r="K22" s="11">
        <v>444.58</v>
      </c>
      <c r="L22" s="11">
        <f>3960.14/8.48*10.03</f>
        <v>4683.9863443396225</v>
      </c>
      <c r="M22" s="11">
        <v>1780.95</v>
      </c>
      <c r="N22" s="11">
        <f>2883.52/8.75*10.28</f>
        <v>3387.7240685714287</v>
      </c>
      <c r="O22" s="11">
        <f>1458.12/8.07*9.36</f>
        <v>1691.2023791821557</v>
      </c>
      <c r="P22" s="11">
        <f>1649.69/9.07*10.71</f>
        <v>1947.9801433296584</v>
      </c>
      <c r="Q22" s="11">
        <f>1821.1/8.17*9.46</f>
        <v>2108.6421052631581</v>
      </c>
    </row>
    <row r="23" spans="1:17" ht="40.15" customHeight="1">
      <c r="A23" s="56" t="s">
        <v>44</v>
      </c>
      <c r="B23" s="56"/>
      <c r="C23" s="22">
        <v>210</v>
      </c>
      <c r="D23" s="11">
        <f>D22*$C$23</f>
        <v>293014.82128777925</v>
      </c>
      <c r="E23" s="11">
        <f t="shared" ref="E23:Q23" si="2">E22*$C$23</f>
        <v>255452.65033112583</v>
      </c>
      <c r="F23" s="11">
        <f t="shared" si="2"/>
        <v>289553.32037533517</v>
      </c>
      <c r="G23" s="11">
        <f t="shared" si="2"/>
        <v>304899.86370967742</v>
      </c>
      <c r="H23" s="11">
        <f t="shared" si="2"/>
        <v>290665.64614343713</v>
      </c>
      <c r="I23" s="11">
        <f t="shared" si="2"/>
        <v>790968.87776332896</v>
      </c>
      <c r="J23" s="11">
        <f t="shared" si="2"/>
        <v>811296.82547770697</v>
      </c>
      <c r="K23" s="11">
        <f t="shared" si="2"/>
        <v>93361.8</v>
      </c>
      <c r="L23" s="11">
        <f t="shared" si="2"/>
        <v>983637.13231132075</v>
      </c>
      <c r="M23" s="11">
        <f t="shared" si="2"/>
        <v>373999.5</v>
      </c>
      <c r="N23" s="11">
        <f t="shared" si="2"/>
        <v>711422.05440000002</v>
      </c>
      <c r="O23" s="11">
        <f t="shared" si="2"/>
        <v>355152.4996282527</v>
      </c>
      <c r="P23" s="11">
        <f t="shared" si="2"/>
        <v>409075.83009922825</v>
      </c>
      <c r="Q23" s="11">
        <f t="shared" si="2"/>
        <v>442814.8421052632</v>
      </c>
    </row>
    <row r="24" spans="1:17" s="1" customFormat="1" ht="42.75" customHeight="1">
      <c r="A24" s="21">
        <v>4</v>
      </c>
      <c r="B24" s="8" t="s">
        <v>6</v>
      </c>
      <c r="C24" s="8" t="s">
        <v>5</v>
      </c>
      <c r="D24" s="11">
        <f>(613.39+462)/7.61*8.73</f>
        <v>1233.6602759526936</v>
      </c>
      <c r="E24" s="11">
        <f>(583.19+462)/7.55*8.67</f>
        <v>1200.2380529801326</v>
      </c>
      <c r="F24" s="10">
        <f>(614+462)/7.46*8.51</f>
        <v>1227.4477211796248</v>
      </c>
      <c r="G24" s="10">
        <f>(588.89+462)/7.44*8.49</f>
        <v>1199.2010887096772</v>
      </c>
      <c r="H24" s="10">
        <f>(639.73+462)/7.39*8.41</f>
        <v>1253.7955751014886</v>
      </c>
      <c r="I24" s="10">
        <f>(775.7+462)/7.69*8.95</f>
        <v>1440.4960988296486</v>
      </c>
      <c r="J24" s="11">
        <f>(791.84+462)/7.85*9.18</f>
        <v>1466.2740382165607</v>
      </c>
      <c r="K24" s="11">
        <v>1142.8600000000001</v>
      </c>
      <c r="L24" s="10">
        <f>(1132.79+462)/8.48*10.03</f>
        <v>1886.290530660377</v>
      </c>
      <c r="M24" s="10">
        <v>1415.12</v>
      </c>
      <c r="N24" s="10">
        <f>(1048.21+462)/8.75*10.28</f>
        <v>1774.2810057142858</v>
      </c>
      <c r="O24" s="10">
        <f>(683.88+462)/8.07*9.36</f>
        <v>1329.0504089219332</v>
      </c>
      <c r="P24" s="10">
        <f>(915.56+462)/9.07*10.71</f>
        <v>1626.6447188533627</v>
      </c>
      <c r="Q24" s="10">
        <f>(820.6+462)/8.17*9.46</f>
        <v>1485.1157894736843</v>
      </c>
    </row>
    <row r="25" spans="1:17" s="1" customFormat="1" ht="42.75" customHeight="1">
      <c r="A25" s="56" t="s">
        <v>45</v>
      </c>
      <c r="B25" s="56"/>
      <c r="C25" s="22">
        <v>76</v>
      </c>
      <c r="D25" s="11">
        <f>D24*$C$25</f>
        <v>93758.18097240472</v>
      </c>
      <c r="E25" s="11">
        <f t="shared" ref="E25:Q25" si="3">E24*$C$25</f>
        <v>91218.092026490078</v>
      </c>
      <c r="F25" s="11">
        <f t="shared" si="3"/>
        <v>93286.026809651477</v>
      </c>
      <c r="G25" s="11">
        <f t="shared" si="3"/>
        <v>91139.282741935458</v>
      </c>
      <c r="H25" s="11">
        <f t="shared" si="3"/>
        <v>95288.463707713134</v>
      </c>
      <c r="I25" s="11">
        <f t="shared" si="3"/>
        <v>109477.7035110533</v>
      </c>
      <c r="J25" s="11">
        <f t="shared" si="3"/>
        <v>111436.82690445862</v>
      </c>
      <c r="K25" s="11">
        <f t="shared" si="3"/>
        <v>86857.360000000015</v>
      </c>
      <c r="L25" s="11">
        <f t="shared" si="3"/>
        <v>143358.08033018865</v>
      </c>
      <c r="M25" s="11">
        <f t="shared" si="3"/>
        <v>107549.12</v>
      </c>
      <c r="N25" s="11">
        <f t="shared" si="3"/>
        <v>134845.35643428573</v>
      </c>
      <c r="O25" s="11">
        <f t="shared" si="3"/>
        <v>101007.83107806693</v>
      </c>
      <c r="P25" s="11">
        <f t="shared" si="3"/>
        <v>123624.99863285557</v>
      </c>
      <c r="Q25" s="11">
        <f t="shared" si="3"/>
        <v>112868.80000000002</v>
      </c>
    </row>
    <row r="26" spans="1:17" ht="30.75" customHeight="1">
      <c r="A26" s="20">
        <v>3</v>
      </c>
      <c r="B26" s="7" t="s">
        <v>28</v>
      </c>
      <c r="C26" s="12" t="s">
        <v>7</v>
      </c>
      <c r="D26" s="11">
        <f>(2847.18+4980)/7.61*8.73</f>
        <v>8979.1434165571627</v>
      </c>
      <c r="E26" s="11">
        <f>(2802.35+4980)/7.55*8.67</f>
        <v>8936.8178145695365</v>
      </c>
      <c r="F26" s="11">
        <f>(2800.01+4980)/7.46*8.51</f>
        <v>8875.0516219839137</v>
      </c>
      <c r="G26" s="11">
        <f>(2773.84+4980)/7.44*8.49</f>
        <v>8848.1319354838724</v>
      </c>
      <c r="H26" s="10">
        <f>(2794.93+4980)/7.39*8.41</f>
        <v>8848.0597158322071</v>
      </c>
      <c r="I26" s="11">
        <f>(2979.82+4980)/7.69*8.95</f>
        <v>9264.0297789336782</v>
      </c>
      <c r="J26" s="11">
        <f>(3045.77+4980)/7.85*9.18</f>
        <v>9385.5501401273887</v>
      </c>
      <c r="K26" s="11">
        <v>10751.35</v>
      </c>
      <c r="L26" s="11">
        <f>(3584.22+4980)/8.48*10.03</f>
        <v>10129.613985849055</v>
      </c>
      <c r="M26" s="11">
        <v>11057.54</v>
      </c>
      <c r="N26" s="11">
        <f>(3530.1+4980)/8.75*10.28</f>
        <v>9998.151771428571</v>
      </c>
      <c r="O26" s="11">
        <f>(3046.1+4980)/8.07*9.36</f>
        <v>9309.0825278810407</v>
      </c>
      <c r="P26" s="11">
        <f>(3560.59+4980)/9.07*10.71</f>
        <v>10084.864266813673</v>
      </c>
      <c r="Q26" s="11">
        <f>(3182.58+4980)/8.17*9.46</f>
        <v>9451.4084210526325</v>
      </c>
    </row>
    <row r="27" spans="1:17" ht="30.75" customHeight="1">
      <c r="A27" s="61" t="s">
        <v>49</v>
      </c>
      <c r="B27" s="61"/>
      <c r="C27" s="22">
        <v>2</v>
      </c>
      <c r="D27" s="11">
        <f>D26*$C$27</f>
        <v>17958.286833114325</v>
      </c>
      <c r="E27" s="11">
        <f t="shared" ref="E27:Q27" si="4">E26*$C$27</f>
        <v>17873.635629139073</v>
      </c>
      <c r="F27" s="11">
        <f t="shared" si="4"/>
        <v>17750.103243967827</v>
      </c>
      <c r="G27" s="11">
        <f t="shared" si="4"/>
        <v>17696.263870967745</v>
      </c>
      <c r="H27" s="11">
        <f t="shared" si="4"/>
        <v>17696.119431664414</v>
      </c>
      <c r="I27" s="11">
        <f t="shared" si="4"/>
        <v>18528.059557867356</v>
      </c>
      <c r="J27" s="11">
        <f t="shared" si="4"/>
        <v>18771.100280254777</v>
      </c>
      <c r="K27" s="11">
        <f t="shared" si="4"/>
        <v>21502.7</v>
      </c>
      <c r="L27" s="11">
        <f t="shared" si="4"/>
        <v>20259.22797169811</v>
      </c>
      <c r="M27" s="11">
        <f t="shared" si="4"/>
        <v>22115.08</v>
      </c>
      <c r="N27" s="11">
        <f t="shared" si="4"/>
        <v>19996.303542857142</v>
      </c>
      <c r="O27" s="11">
        <f t="shared" si="4"/>
        <v>18618.165055762081</v>
      </c>
      <c r="P27" s="11">
        <f t="shared" si="4"/>
        <v>20169.728533627345</v>
      </c>
      <c r="Q27" s="11">
        <f t="shared" si="4"/>
        <v>18902.816842105265</v>
      </c>
    </row>
    <row r="28" spans="1:17" ht="25.9" customHeight="1">
      <c r="A28" s="20">
        <v>4</v>
      </c>
      <c r="B28" s="7" t="s">
        <v>27</v>
      </c>
      <c r="C28" s="12" t="s">
        <v>7</v>
      </c>
      <c r="D28" s="10">
        <f>(2847.18+3340)/7.61*8.73</f>
        <v>7097.7767936925102</v>
      </c>
      <c r="E28" s="10">
        <f>(2802.35+3340)/7.55*8.67</f>
        <v>7053.5330463576165</v>
      </c>
      <c r="F28" s="10">
        <f>(2800.01+3340)/7.46*8.51</f>
        <v>7004.2205227882041</v>
      </c>
      <c r="G28" s="10">
        <f>(2773.84+3340)/7.44*8.49</f>
        <v>6976.6803225806452</v>
      </c>
      <c r="H28" s="10">
        <f>(2794.93+3340)/7.39*8.41</f>
        <v>6981.6997699594049</v>
      </c>
      <c r="I28" s="11">
        <f>(2979.82+3340)/7.69*8.95</f>
        <v>7355.3171651495441</v>
      </c>
      <c r="J28" s="10">
        <f>(3045.77+3340)/7.85*9.18</f>
        <v>7467.6902675159245</v>
      </c>
      <c r="K28" s="10">
        <v>6501.35</v>
      </c>
      <c r="L28" s="10">
        <f>(3584.32+3340)/8.48*10.03</f>
        <v>8189.9681132075466</v>
      </c>
      <c r="M28" s="10">
        <v>6807.54</v>
      </c>
      <c r="N28" s="10">
        <f>(3530.1+3430)/8.75*10.28</f>
        <v>8177.1232</v>
      </c>
      <c r="O28" s="10">
        <f>(3046.1+3340)/8.07*9.36</f>
        <v>7406.926394052045</v>
      </c>
      <c r="P28" s="10">
        <f>(3560.59+3340)/9.07*10.71</f>
        <v>8148.3262293274538</v>
      </c>
      <c r="Q28" s="10">
        <f>(3182.58+3340)/8.17*9.46</f>
        <v>7552.4610526315792</v>
      </c>
    </row>
    <row r="29" spans="1:17" ht="25.9" customHeight="1">
      <c r="A29" s="61" t="s">
        <v>49</v>
      </c>
      <c r="B29" s="61"/>
      <c r="C29" s="22">
        <v>2</v>
      </c>
      <c r="D29" s="10">
        <f>D28*$C$29</f>
        <v>14195.55358738502</v>
      </c>
      <c r="E29" s="10">
        <f t="shared" ref="E29:Q29" si="5">E28*$C$29</f>
        <v>14107.066092715233</v>
      </c>
      <c r="F29" s="10">
        <f t="shared" si="5"/>
        <v>14008.441045576408</v>
      </c>
      <c r="G29" s="10">
        <f t="shared" si="5"/>
        <v>13953.36064516129</v>
      </c>
      <c r="H29" s="10">
        <f t="shared" si="5"/>
        <v>13963.39953991881</v>
      </c>
      <c r="I29" s="10">
        <f t="shared" si="5"/>
        <v>14710.634330299088</v>
      </c>
      <c r="J29" s="10">
        <f t="shared" si="5"/>
        <v>14935.380535031849</v>
      </c>
      <c r="K29" s="10">
        <f t="shared" si="5"/>
        <v>13002.7</v>
      </c>
      <c r="L29" s="10">
        <f t="shared" si="5"/>
        <v>16379.936226415093</v>
      </c>
      <c r="M29" s="10">
        <f t="shared" si="5"/>
        <v>13615.08</v>
      </c>
      <c r="N29" s="10">
        <f t="shared" si="5"/>
        <v>16354.2464</v>
      </c>
      <c r="O29" s="10">
        <f t="shared" si="5"/>
        <v>14813.85278810409</v>
      </c>
      <c r="P29" s="10">
        <f t="shared" si="5"/>
        <v>16296.652458654908</v>
      </c>
      <c r="Q29" s="10">
        <f t="shared" si="5"/>
        <v>15104.922105263158</v>
      </c>
    </row>
    <row r="30" spans="1:17" ht="44.25" customHeight="1">
      <c r="A30" s="20">
        <v>5</v>
      </c>
      <c r="B30" s="7" t="s">
        <v>29</v>
      </c>
      <c r="C30" s="12" t="s">
        <v>7</v>
      </c>
      <c r="D30" s="10">
        <f>5458.48/7.61*8.73</f>
        <v>6261.8305387647824</v>
      </c>
      <c r="E30" s="10">
        <f>5452.49/7.55*8.67</f>
        <v>6261.3361986754962</v>
      </c>
      <c r="F30" s="10">
        <f>5433.05/7.46*8.51</f>
        <v>6197.7554289544232</v>
      </c>
      <c r="G30" s="10">
        <f>5419.21/7.44*8.49</f>
        <v>6184.0178629032262</v>
      </c>
      <c r="H30" s="10">
        <f>5422.69/7.39*8.41</f>
        <v>6171.1533017591337</v>
      </c>
      <c r="I30" s="11">
        <f>5261.06/7.69*8.95</f>
        <v>6123.0802340702203</v>
      </c>
      <c r="J30" s="10">
        <f>5530.49/7.85*9.18</f>
        <v>6467.5029554140128</v>
      </c>
      <c r="K30" s="10">
        <v>5037.74</v>
      </c>
      <c r="L30" s="10">
        <f>5691.82/8.48*10.03</f>
        <v>6732.188042452829</v>
      </c>
      <c r="M30" s="10">
        <v>5124.75</v>
      </c>
      <c r="N30" s="10">
        <f>5680.81/8.75*10.28</f>
        <v>6674.1402057142859</v>
      </c>
      <c r="O30" s="10">
        <f>5546.8/8.07*9.36</f>
        <v>6433.4631970260225</v>
      </c>
      <c r="P30" s="10">
        <f>5729.45/9.07*10.71</f>
        <v>6765.4255237045209</v>
      </c>
      <c r="Q30" s="10">
        <f>5570.74/8.17*9.46</f>
        <v>6450.330526315789</v>
      </c>
    </row>
    <row r="31" spans="1:17" ht="44.25" customHeight="1">
      <c r="A31" s="61" t="s">
        <v>49</v>
      </c>
      <c r="B31" s="61"/>
      <c r="C31" s="22">
        <v>2</v>
      </c>
      <c r="D31" s="10">
        <f>D30*$C$31</f>
        <v>12523.661077529565</v>
      </c>
      <c r="E31" s="10">
        <f t="shared" ref="E31:Q31" si="6">E30*$C$31</f>
        <v>12522.672397350992</v>
      </c>
      <c r="F31" s="10">
        <f t="shared" si="6"/>
        <v>12395.510857908846</v>
      </c>
      <c r="G31" s="10">
        <f t="shared" si="6"/>
        <v>12368.035725806452</v>
      </c>
      <c r="H31" s="10">
        <f t="shared" si="6"/>
        <v>12342.306603518267</v>
      </c>
      <c r="I31" s="10">
        <f t="shared" si="6"/>
        <v>12246.160468140441</v>
      </c>
      <c r="J31" s="10">
        <f t="shared" si="6"/>
        <v>12935.005910828026</v>
      </c>
      <c r="K31" s="10">
        <f t="shared" si="6"/>
        <v>10075.48</v>
      </c>
      <c r="L31" s="10">
        <f t="shared" si="6"/>
        <v>13464.376084905658</v>
      </c>
      <c r="M31" s="10">
        <f t="shared" si="6"/>
        <v>10249.5</v>
      </c>
      <c r="N31" s="10">
        <f t="shared" si="6"/>
        <v>13348.280411428572</v>
      </c>
      <c r="O31" s="10">
        <f t="shared" si="6"/>
        <v>12866.926394052045</v>
      </c>
      <c r="P31" s="10">
        <f t="shared" si="6"/>
        <v>13530.851047409042</v>
      </c>
      <c r="Q31" s="10">
        <f t="shared" si="6"/>
        <v>12900.661052631578</v>
      </c>
    </row>
    <row r="32" spans="1:17" ht="44.25" customHeight="1">
      <c r="A32" s="20">
        <v>6</v>
      </c>
      <c r="B32" s="7" t="s">
        <v>30</v>
      </c>
      <c r="C32" s="12" t="s">
        <v>5</v>
      </c>
      <c r="D32" s="10">
        <f>371.22/7.61*8.73</f>
        <v>425.85421813403417</v>
      </c>
      <c r="E32" s="10">
        <f>368.02/7.55*8.67</f>
        <v>422.61369536423837</v>
      </c>
      <c r="F32" s="10">
        <f>377.69/7.46*8.51</f>
        <v>430.85012064343158</v>
      </c>
      <c r="G32" s="10">
        <f>378.01/7.44*8.49</f>
        <v>431.35818548387095</v>
      </c>
      <c r="H32" s="10">
        <f>384.43/7.39*8.41</f>
        <v>437.49070365358591</v>
      </c>
      <c r="I32" s="11">
        <f>534.48/7.69*8.95</f>
        <v>622.05409622886862</v>
      </c>
      <c r="J32" s="10">
        <f>545.7/7.85*9.18</f>
        <v>638.15617834394914</v>
      </c>
      <c r="K32" s="10">
        <v>530.42000000000007</v>
      </c>
      <c r="L32" s="10">
        <f>649.14/8.48*10.03</f>
        <v>767.79176886792436</v>
      </c>
      <c r="M32" s="10">
        <v>599.45000000000005</v>
      </c>
      <c r="N32" s="10">
        <f>524.38/8.75*10.28</f>
        <v>616.07158857142849</v>
      </c>
      <c r="O32" s="10">
        <f>427.74/8.07*9.36</f>
        <v>496.11479553903342</v>
      </c>
      <c r="P32" s="10">
        <f>483.25/9.07*10.71</f>
        <v>570.6292723263507</v>
      </c>
      <c r="Q32" s="10">
        <f>463.73/8.17*9.46</f>
        <v>536.95052631578949</v>
      </c>
    </row>
    <row r="33" spans="1:17" ht="44.25" customHeight="1">
      <c r="A33" s="61" t="s">
        <v>46</v>
      </c>
      <c r="B33" s="61"/>
      <c r="C33" s="22">
        <v>50</v>
      </c>
      <c r="D33" s="10">
        <f>D32*$C$33</f>
        <v>21292.710906701708</v>
      </c>
      <c r="E33" s="10">
        <f t="shared" ref="E33:Q33" si="7">E32*$C$33</f>
        <v>21130.684768211919</v>
      </c>
      <c r="F33" s="10">
        <f t="shared" si="7"/>
        <v>21542.506032171579</v>
      </c>
      <c r="G33" s="10">
        <f t="shared" si="7"/>
        <v>21567.909274193549</v>
      </c>
      <c r="H33" s="10">
        <f t="shared" si="7"/>
        <v>21874.535182679294</v>
      </c>
      <c r="I33" s="10">
        <f t="shared" si="7"/>
        <v>31102.704811443429</v>
      </c>
      <c r="J33" s="10">
        <f t="shared" si="7"/>
        <v>31907.808917197457</v>
      </c>
      <c r="K33" s="10">
        <f t="shared" si="7"/>
        <v>26521.000000000004</v>
      </c>
      <c r="L33" s="10">
        <f t="shared" si="7"/>
        <v>38389.58844339622</v>
      </c>
      <c r="M33" s="10">
        <f t="shared" si="7"/>
        <v>29972.500000000004</v>
      </c>
      <c r="N33" s="10">
        <f t="shared" si="7"/>
        <v>30803.579428571426</v>
      </c>
      <c r="O33" s="10">
        <f t="shared" si="7"/>
        <v>24805.739776951672</v>
      </c>
      <c r="P33" s="10">
        <f t="shared" si="7"/>
        <v>28531.463616317535</v>
      </c>
      <c r="Q33" s="10">
        <f t="shared" si="7"/>
        <v>26847.526315789473</v>
      </c>
    </row>
    <row r="34" spans="1:17" s="13" customFormat="1" ht="24" customHeight="1">
      <c r="A34" s="39">
        <v>7</v>
      </c>
      <c r="B34" s="12" t="s">
        <v>39</v>
      </c>
      <c r="C34" s="12" t="s">
        <v>40</v>
      </c>
      <c r="D34" s="10">
        <f>222.46/9.61*10.92</f>
        <v>252.78493236212282</v>
      </c>
      <c r="E34" s="11">
        <f>218.75/9.45*10.75</f>
        <v>248.84259259259261</v>
      </c>
      <c r="F34" s="11">
        <f>229.16/9.9*11.18</f>
        <v>258.78876767676763</v>
      </c>
      <c r="G34" s="11">
        <f>228.94/9.89*11.18</f>
        <v>258.80173913043473</v>
      </c>
      <c r="H34" s="11">
        <f>224.77/10.09*11.36</f>
        <v>253.06116947472745</v>
      </c>
      <c r="I34" s="11">
        <f>363.19/15.69*18.08</f>
        <v>418.5133970681963</v>
      </c>
      <c r="J34" s="11">
        <f>370.6/16.01*18.53</f>
        <v>428.93304184884448</v>
      </c>
      <c r="K34" s="11"/>
      <c r="L34" s="11">
        <f>436.8/18.45*21.61</f>
        <v>511.61235772357725</v>
      </c>
      <c r="M34" s="11"/>
      <c r="N34" s="11">
        <f>341.89/14.77*17.17</f>
        <v>397.44423155044012</v>
      </c>
      <c r="O34" s="11">
        <f>251.86/10.88*12.48</f>
        <v>288.89823529411763</v>
      </c>
      <c r="P34" s="11">
        <f>287.72/12.73*14.53</f>
        <v>328.40311076197958</v>
      </c>
      <c r="Q34" s="11">
        <f>287.04/12.4*14.2</f>
        <v>328.70709677419353</v>
      </c>
    </row>
    <row r="35" spans="1:17" ht="33.6" hidden="1" customHeight="1">
      <c r="A35" s="19"/>
      <c r="B35" s="60" t="s">
        <v>9</v>
      </c>
      <c r="C35" s="60"/>
      <c r="D35" s="60"/>
      <c r="E35" s="30"/>
      <c r="F35" s="31"/>
      <c r="G35" s="31"/>
      <c r="H35" s="32"/>
      <c r="I35" s="32"/>
      <c r="J35" s="32"/>
      <c r="K35" s="29"/>
      <c r="L35" s="33"/>
      <c r="M35" s="19"/>
      <c r="N35" s="31"/>
      <c r="O35" s="31"/>
      <c r="P35" s="31"/>
      <c r="Q35" s="31"/>
    </row>
    <row r="36" spans="1:17" ht="45" hidden="1">
      <c r="A36" s="19"/>
      <c r="B36" s="3" t="s">
        <v>8</v>
      </c>
      <c r="C36" s="5" t="s">
        <v>10</v>
      </c>
      <c r="D36" s="5" t="s">
        <v>11</v>
      </c>
      <c r="E36" s="31"/>
      <c r="F36" s="31"/>
      <c r="G36" s="31"/>
      <c r="H36" s="33"/>
      <c r="I36" s="34"/>
      <c r="J36" s="34"/>
      <c r="K36" s="29"/>
      <c r="L36" s="31"/>
      <c r="M36" s="19"/>
      <c r="N36" s="31"/>
      <c r="O36" s="31"/>
      <c r="P36" s="31"/>
      <c r="Q36" s="31"/>
    </row>
    <row r="37" spans="1:17" ht="30" hidden="1">
      <c r="A37" s="19"/>
      <c r="B37" s="2" t="s">
        <v>0</v>
      </c>
      <c r="C37" s="4" t="e">
        <f>#REF!/#REF!</f>
        <v>#REF!</v>
      </c>
      <c r="D37" s="4" t="e">
        <f>#REF!/#REF!</f>
        <v>#REF!</v>
      </c>
      <c r="E37" s="31"/>
      <c r="F37" s="31"/>
      <c r="G37" s="31"/>
      <c r="H37" s="30"/>
      <c r="I37" s="35"/>
      <c r="J37" s="35"/>
      <c r="K37" s="29"/>
      <c r="L37" s="31"/>
      <c r="M37" s="19"/>
      <c r="N37" s="31"/>
      <c r="O37" s="31"/>
      <c r="P37" s="31"/>
      <c r="Q37" s="31"/>
    </row>
    <row r="38" spans="1:17" ht="30" hidden="1">
      <c r="A38" s="19"/>
      <c r="B38" s="2" t="s">
        <v>3</v>
      </c>
      <c r="C38" s="4" t="e">
        <f>#REF!/#REF!</f>
        <v>#REF!</v>
      </c>
      <c r="D38" s="4" t="e">
        <f>#REF!/#REF!</f>
        <v>#REF!</v>
      </c>
      <c r="E38" s="31"/>
      <c r="F38" s="31"/>
      <c r="G38" s="31"/>
      <c r="H38" s="30"/>
      <c r="I38" s="35"/>
      <c r="J38" s="35"/>
      <c r="K38" s="29"/>
      <c r="L38" s="31"/>
      <c r="M38" s="19"/>
      <c r="N38" s="31"/>
      <c r="O38" s="31"/>
      <c r="P38" s="31"/>
      <c r="Q38" s="31"/>
    </row>
    <row r="39" spans="1:17" ht="45" hidden="1" customHeight="1">
      <c r="A39" s="19"/>
      <c r="B39" s="2" t="s">
        <v>4</v>
      </c>
      <c r="C39" s="4" t="e">
        <f>#REF!/#REF!</f>
        <v>#REF!</v>
      </c>
      <c r="D39" s="4" t="e">
        <f>#REF!/#REF!</f>
        <v>#REF!</v>
      </c>
      <c r="E39" s="31"/>
      <c r="F39" s="31"/>
      <c r="G39" s="31"/>
      <c r="H39" s="30"/>
      <c r="I39" s="35"/>
      <c r="J39" s="35"/>
      <c r="K39" s="29"/>
      <c r="L39" s="31"/>
      <c r="M39" s="19"/>
      <c r="N39" s="31"/>
      <c r="O39" s="31"/>
      <c r="P39" s="31"/>
      <c r="Q39" s="31"/>
    </row>
    <row r="40" spans="1:17" ht="45" customHeight="1">
      <c r="A40" s="61" t="s">
        <v>47</v>
      </c>
      <c r="B40" s="61"/>
      <c r="C40" s="22">
        <v>220</v>
      </c>
      <c r="D40" s="11">
        <f>D34*$C$40</f>
        <v>55612.685119667018</v>
      </c>
      <c r="E40" s="11">
        <f t="shared" ref="E40:Q40" si="8">E34*$C$40</f>
        <v>54745.370370370372</v>
      </c>
      <c r="F40" s="11">
        <f t="shared" si="8"/>
        <v>56933.528888888883</v>
      </c>
      <c r="G40" s="11">
        <f t="shared" si="8"/>
        <v>56936.38260869564</v>
      </c>
      <c r="H40" s="11">
        <f t="shared" si="8"/>
        <v>55673.457284440039</v>
      </c>
      <c r="I40" s="11">
        <f t="shared" si="8"/>
        <v>92072.947355003183</v>
      </c>
      <c r="J40" s="11">
        <f t="shared" si="8"/>
        <v>94365.269206745783</v>
      </c>
      <c r="K40" s="11">
        <f t="shared" si="8"/>
        <v>0</v>
      </c>
      <c r="L40" s="11">
        <f t="shared" si="8"/>
        <v>112554.718699187</v>
      </c>
      <c r="M40" s="11">
        <f t="shared" si="8"/>
        <v>0</v>
      </c>
      <c r="N40" s="11">
        <f t="shared" si="8"/>
        <v>87437.73094109683</v>
      </c>
      <c r="O40" s="11">
        <f t="shared" si="8"/>
        <v>63557.611764705878</v>
      </c>
      <c r="P40" s="11">
        <f t="shared" si="8"/>
        <v>72248.684367635506</v>
      </c>
      <c r="Q40" s="11">
        <f t="shared" si="8"/>
        <v>72315.56129032257</v>
      </c>
    </row>
    <row r="41" spans="1:17" ht="45" customHeight="1">
      <c r="A41" s="61" t="s">
        <v>52</v>
      </c>
      <c r="B41" s="61"/>
      <c r="C41" s="61"/>
      <c r="D41" s="11">
        <f>D19+D21+D23+D25+D27+D29+D31+D33+D40</f>
        <v>560118.60504082334</v>
      </c>
      <c r="E41" s="11">
        <f t="shared" ref="E41:Q41" si="9">E19+E21+E23+E25+E27+E29+E31+E33+E40</f>
        <v>517958.34459553601</v>
      </c>
      <c r="F41" s="11">
        <f t="shared" si="9"/>
        <v>557588.4873607388</v>
      </c>
      <c r="G41" s="11">
        <f t="shared" si="9"/>
        <v>570685.293818373</v>
      </c>
      <c r="H41" s="11">
        <f t="shared" si="9"/>
        <v>559261.38946305984</v>
      </c>
      <c r="I41" s="11">
        <f t="shared" si="9"/>
        <v>1124496.9502158614</v>
      </c>
      <c r="J41" s="11">
        <f t="shared" si="9"/>
        <v>1152460.3955252171</v>
      </c>
      <c r="K41" s="11">
        <f t="shared" si="9"/>
        <v>251321.04000000007</v>
      </c>
      <c r="L41" s="11">
        <f t="shared" si="9"/>
        <v>1395967.5447840923</v>
      </c>
      <c r="M41" s="11">
        <f t="shared" si="9"/>
        <v>557500.78</v>
      </c>
      <c r="N41" s="11">
        <f t="shared" si="9"/>
        <v>1081400.1692496683</v>
      </c>
      <c r="O41" s="11">
        <f t="shared" si="9"/>
        <v>650643.44195057941</v>
      </c>
      <c r="P41" s="11">
        <f t="shared" si="9"/>
        <v>752569.51691449329</v>
      </c>
      <c r="Q41" s="11">
        <f t="shared" si="9"/>
        <v>763377.01392190147</v>
      </c>
    </row>
    <row r="42" spans="1:17" ht="28.5" customHeight="1">
      <c r="A42" s="58" t="s">
        <v>32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s="6" customFormat="1" ht="108" customHeight="1">
      <c r="A43" s="20">
        <v>8</v>
      </c>
      <c r="B43" s="7" t="s">
        <v>80</v>
      </c>
      <c r="C43" s="8" t="s">
        <v>26</v>
      </c>
      <c r="D43" s="11">
        <f>624.72/7.61*8.73</f>
        <v>716.66302233902763</v>
      </c>
      <c r="E43" s="11">
        <f>672.98/7.55*8.67</f>
        <v>772.81279470198683</v>
      </c>
      <c r="F43" s="11">
        <f>693.17/7.46*8.51</f>
        <v>790.73414209115276</v>
      </c>
      <c r="G43" s="11">
        <f>746.03/7.44*8.49</f>
        <v>851.31649193548378</v>
      </c>
      <c r="H43" s="11">
        <f>629.9/7.39*8.41</f>
        <v>716.84154262516927</v>
      </c>
      <c r="I43" s="11">
        <f>932.5/7.69*8.95</f>
        <v>1085.2893368010402</v>
      </c>
      <c r="J43" s="11">
        <f>951.89/7.85*9.18</f>
        <v>1113.1656305732483</v>
      </c>
      <c r="K43" s="11"/>
      <c r="L43" s="11">
        <f>3228.41/8.48*10.03</f>
        <v>3818.5085259433959</v>
      </c>
      <c r="M43" s="11"/>
      <c r="N43" s="11">
        <f>1675.91/8.75*10.28</f>
        <v>1968.9548342857142</v>
      </c>
      <c r="O43" s="11">
        <f>847.46/8.07*9.36</f>
        <v>982.9275836431226</v>
      </c>
      <c r="P43" s="11">
        <f>646.3/9.07*10.71</f>
        <v>763.16130099228224</v>
      </c>
      <c r="Q43" s="11">
        <f>777.17/8.17*9.46</f>
        <v>899.881052631579</v>
      </c>
    </row>
    <row r="44" spans="1:17" s="6" customFormat="1" ht="29.25" customHeight="1">
      <c r="A44" s="61" t="s">
        <v>48</v>
      </c>
      <c r="B44" s="61"/>
      <c r="C44" s="22">
        <v>100</v>
      </c>
      <c r="D44" s="11">
        <f>D43*$C$44</f>
        <v>71666.302233902767</v>
      </c>
      <c r="E44" s="11">
        <f t="shared" ref="E44:Q44" si="10">E43*$C$44</f>
        <v>77281.279470198686</v>
      </c>
      <c r="F44" s="11">
        <f t="shared" si="10"/>
        <v>79073.414209115275</v>
      </c>
      <c r="G44" s="11">
        <f t="shared" si="10"/>
        <v>85131.649193548379</v>
      </c>
      <c r="H44" s="11">
        <f t="shared" si="10"/>
        <v>71684.154262516924</v>
      </c>
      <c r="I44" s="11">
        <f t="shared" si="10"/>
        <v>108528.93368010402</v>
      </c>
      <c r="J44" s="11">
        <f t="shared" si="10"/>
        <v>111316.56305732483</v>
      </c>
      <c r="K44" s="11">
        <f t="shared" si="10"/>
        <v>0</v>
      </c>
      <c r="L44" s="11">
        <f t="shared" si="10"/>
        <v>381850.85259433958</v>
      </c>
      <c r="M44" s="11">
        <f t="shared" si="10"/>
        <v>0</v>
      </c>
      <c r="N44" s="11">
        <f t="shared" si="10"/>
        <v>196895.48342857143</v>
      </c>
      <c r="O44" s="11">
        <f t="shared" si="10"/>
        <v>98292.758364312263</v>
      </c>
      <c r="P44" s="11">
        <f t="shared" si="10"/>
        <v>76316.130099228219</v>
      </c>
      <c r="Q44" s="11">
        <f t="shared" si="10"/>
        <v>89988.105263157893</v>
      </c>
    </row>
    <row r="45" spans="1:17" s="6" customFormat="1" ht="45.75" customHeight="1">
      <c r="A45" s="20">
        <v>9</v>
      </c>
      <c r="B45" s="7" t="s">
        <v>33</v>
      </c>
      <c r="C45" s="9" t="s">
        <v>7</v>
      </c>
      <c r="D45" s="11">
        <f>(24630+9260.03)/7.61*8.73</f>
        <v>38877.787371879102</v>
      </c>
      <c r="E45" s="11">
        <f>(24630+9062.99)/7.55*8.67</f>
        <v>38691.155403973513</v>
      </c>
      <c r="F45" s="11">
        <f>(24630+9182.6)/7.46*8.51</f>
        <v>38571.746112600529</v>
      </c>
      <c r="G45" s="11">
        <f>(24630+9064.78)/7.44*8.49</f>
        <v>38450.091693548384</v>
      </c>
      <c r="H45" s="11">
        <f>(24630+9246.31)/7.39*8.41</f>
        <v>38552.06591339648</v>
      </c>
      <c r="I45" s="11">
        <f>(10245.48+24630)/7.69*8.95</f>
        <v>40589.7979193758</v>
      </c>
      <c r="J45" s="11">
        <f>(10470.98+24630)/7.85*9.18</f>
        <v>41048.025019108274</v>
      </c>
      <c r="K45" s="11"/>
      <c r="L45" s="11">
        <f>(12896.3+24630)/8.48*10.03</f>
        <v>44385.470400943392</v>
      </c>
      <c r="M45" s="11"/>
      <c r="N45" s="11">
        <f>(12529.86+24630)/8.75*10.28</f>
        <v>43657.526948571423</v>
      </c>
      <c r="O45" s="11">
        <f>(10228.73+24630)/8.07*9.36</f>
        <v>40430.943345724896</v>
      </c>
      <c r="P45" s="11">
        <f>(24630+11696.38)/9.07*10.71</f>
        <v>42894.766240352816</v>
      </c>
      <c r="Q45" s="11">
        <f>(11006.27+24630)/8.17*9.46</f>
        <v>41263.049473684216</v>
      </c>
    </row>
    <row r="46" spans="1:17" s="6" customFormat="1" ht="45.75" customHeight="1">
      <c r="A46" s="61" t="s">
        <v>49</v>
      </c>
      <c r="B46" s="61"/>
      <c r="C46" s="22">
        <v>1</v>
      </c>
      <c r="D46" s="11">
        <f>D45*$C$46</f>
        <v>38877.787371879102</v>
      </c>
      <c r="E46" s="11">
        <f t="shared" ref="E46:Q46" si="11">E45*$C$46</f>
        <v>38691.155403973513</v>
      </c>
      <c r="F46" s="11">
        <f t="shared" si="11"/>
        <v>38571.746112600529</v>
      </c>
      <c r="G46" s="11">
        <f t="shared" si="11"/>
        <v>38450.091693548384</v>
      </c>
      <c r="H46" s="11">
        <f t="shared" si="11"/>
        <v>38552.06591339648</v>
      </c>
      <c r="I46" s="11">
        <f t="shared" si="11"/>
        <v>40589.7979193758</v>
      </c>
      <c r="J46" s="11">
        <f t="shared" si="11"/>
        <v>41048.025019108274</v>
      </c>
      <c r="K46" s="11">
        <f t="shared" si="11"/>
        <v>0</v>
      </c>
      <c r="L46" s="11">
        <f t="shared" si="11"/>
        <v>44385.470400943392</v>
      </c>
      <c r="M46" s="11">
        <f t="shared" si="11"/>
        <v>0</v>
      </c>
      <c r="N46" s="11">
        <f t="shared" si="11"/>
        <v>43657.526948571423</v>
      </c>
      <c r="O46" s="11">
        <f t="shared" si="11"/>
        <v>40430.943345724896</v>
      </c>
      <c r="P46" s="11">
        <f t="shared" si="11"/>
        <v>42894.766240352816</v>
      </c>
      <c r="Q46" s="11">
        <f t="shared" si="11"/>
        <v>41263.049473684216</v>
      </c>
    </row>
    <row r="47" spans="1:17" s="6" customFormat="1" ht="37.5">
      <c r="A47" s="20">
        <v>10</v>
      </c>
      <c r="B47" s="7" t="s">
        <v>34</v>
      </c>
      <c r="C47" s="9" t="s">
        <v>7</v>
      </c>
      <c r="D47" s="11">
        <f>(11900+9260.03)/7.61*8.73</f>
        <v>24274.252549277262</v>
      </c>
      <c r="E47" s="11">
        <f>(11900+9062.99)/7.55*8.67</f>
        <v>24072.731562913905</v>
      </c>
      <c r="F47" s="11">
        <f>(11900+9182.6)/7.46*8.51</f>
        <v>24049.990080428954</v>
      </c>
      <c r="G47" s="11">
        <f>(11900+9064.78)/7.44*8.49</f>
        <v>23923.519112903225</v>
      </c>
      <c r="H47" s="11">
        <f>(11900+9246.31)/7.39*8.41</f>
        <v>24065.015845737482</v>
      </c>
      <c r="I47" s="11">
        <f>(10245.48+11900)/7.69*8.95</f>
        <v>25773.998179453833</v>
      </c>
      <c r="J47" s="11">
        <f>(11900+10470.98)/7.85*9.18</f>
        <v>26161.22247133758</v>
      </c>
      <c r="K47" s="11"/>
      <c r="L47" s="11">
        <f>(11900+12896.3)/8.48*10.03</f>
        <v>29328.64257075471</v>
      </c>
      <c r="M47" s="11"/>
      <c r="N47" s="11">
        <f>(12529.86+11900)/8.75*10.28</f>
        <v>28701.595519999999</v>
      </c>
      <c r="O47" s="11">
        <f>(10228.73+11900)/8.07*9.36</f>
        <v>25666.036282527879</v>
      </c>
      <c r="P47" s="11">
        <f>(11900+11696.38)/9.07*10.71</f>
        <v>27862.980132304299</v>
      </c>
      <c r="Q47" s="11">
        <f>(11900+11006.27)/8.17*9.46</f>
        <v>26523.049473684212</v>
      </c>
    </row>
    <row r="48" spans="1:17" s="6" customFormat="1" ht="36.75" customHeight="1">
      <c r="A48" s="61" t="s">
        <v>49</v>
      </c>
      <c r="B48" s="61"/>
      <c r="C48" s="22">
        <v>1</v>
      </c>
      <c r="D48" s="11">
        <f>D47*$C$48</f>
        <v>24274.252549277262</v>
      </c>
      <c r="E48" s="11">
        <f t="shared" ref="E48:Q48" si="12">E47*$C$48</f>
        <v>24072.731562913905</v>
      </c>
      <c r="F48" s="11">
        <f t="shared" si="12"/>
        <v>24049.990080428954</v>
      </c>
      <c r="G48" s="11">
        <f t="shared" si="12"/>
        <v>23923.519112903225</v>
      </c>
      <c r="H48" s="11">
        <f t="shared" si="12"/>
        <v>24065.015845737482</v>
      </c>
      <c r="I48" s="11">
        <f t="shared" si="12"/>
        <v>25773.998179453833</v>
      </c>
      <c r="J48" s="11">
        <f t="shared" si="12"/>
        <v>26161.22247133758</v>
      </c>
      <c r="K48" s="11">
        <f t="shared" si="12"/>
        <v>0</v>
      </c>
      <c r="L48" s="11">
        <f t="shared" si="12"/>
        <v>29328.64257075471</v>
      </c>
      <c r="M48" s="11">
        <f t="shared" si="12"/>
        <v>0</v>
      </c>
      <c r="N48" s="11">
        <f t="shared" si="12"/>
        <v>28701.595519999999</v>
      </c>
      <c r="O48" s="11">
        <f t="shared" si="12"/>
        <v>25666.036282527879</v>
      </c>
      <c r="P48" s="11">
        <f t="shared" si="12"/>
        <v>27862.980132304299</v>
      </c>
      <c r="Q48" s="11">
        <f t="shared" si="12"/>
        <v>26523.049473684212</v>
      </c>
    </row>
    <row r="49" spans="1:17" s="6" customFormat="1" ht="28.5" customHeight="1">
      <c r="A49" s="20">
        <v>11</v>
      </c>
      <c r="B49" s="7" t="s">
        <v>35</v>
      </c>
      <c r="C49" s="9" t="s">
        <v>7</v>
      </c>
      <c r="D49" s="11">
        <f>(33740+9260.03)/7.61*8.73</f>
        <v>49328.549526938245</v>
      </c>
      <c r="E49" s="11">
        <f>(33740+9062.99)/7.55*8.67</f>
        <v>49152.572622516556</v>
      </c>
      <c r="F49" s="11">
        <f>(9182.6+33740)/7.46*8.51</f>
        <v>48963.984718498657</v>
      </c>
      <c r="G49" s="11">
        <f>(33740+9064.78)/7.44*8.49</f>
        <v>48845.777177419353</v>
      </c>
      <c r="H49" s="11">
        <f>(33740+9246.31)/7.39*8.41</f>
        <v>48919.467807848443</v>
      </c>
      <c r="I49" s="11">
        <f>(33740+10245.48)/7.69*8.95</f>
        <v>51192.463719115724</v>
      </c>
      <c r="J49" s="11">
        <f>(33740+10470.98)/7.85*9.18</f>
        <v>51701.502726114646</v>
      </c>
      <c r="K49" s="11"/>
      <c r="L49" s="11">
        <f>(33740+12896.3)/8.48*10.03</f>
        <v>55160.623702830191</v>
      </c>
      <c r="M49" s="11"/>
      <c r="N49" s="11">
        <f>(12529.86+33740)/8.75*10.28</f>
        <v>54360.47552</v>
      </c>
      <c r="O49" s="11">
        <f>(10228.73+33740)/8.07*9.36</f>
        <v>50997.188698884747</v>
      </c>
      <c r="P49" s="11">
        <f>(33740+11696.38)/9.07*10.71</f>
        <v>53651.998875413454</v>
      </c>
      <c r="Q49" s="11">
        <f>(11006.27+33740)/8.17*9.46</f>
        <v>51811.470526315796</v>
      </c>
    </row>
    <row r="50" spans="1:17" s="6" customFormat="1" ht="31.5" customHeight="1">
      <c r="A50" s="61" t="s">
        <v>49</v>
      </c>
      <c r="B50" s="61"/>
      <c r="C50" s="22">
        <v>1</v>
      </c>
      <c r="D50" s="11">
        <f>D49*$C$50</f>
        <v>49328.549526938245</v>
      </c>
      <c r="E50" s="11">
        <f t="shared" ref="E50:Q50" si="13">E49*$C$50</f>
        <v>49152.572622516556</v>
      </c>
      <c r="F50" s="11">
        <f t="shared" si="13"/>
        <v>48963.984718498657</v>
      </c>
      <c r="G50" s="11">
        <f t="shared" si="13"/>
        <v>48845.777177419353</v>
      </c>
      <c r="H50" s="11">
        <f t="shared" si="13"/>
        <v>48919.467807848443</v>
      </c>
      <c r="I50" s="11">
        <f t="shared" si="13"/>
        <v>51192.463719115724</v>
      </c>
      <c r="J50" s="11">
        <f t="shared" si="13"/>
        <v>51701.502726114646</v>
      </c>
      <c r="K50" s="11">
        <f t="shared" si="13"/>
        <v>0</v>
      </c>
      <c r="L50" s="11">
        <f t="shared" si="13"/>
        <v>55160.623702830191</v>
      </c>
      <c r="M50" s="11">
        <f t="shared" si="13"/>
        <v>0</v>
      </c>
      <c r="N50" s="11">
        <f t="shared" si="13"/>
        <v>54360.47552</v>
      </c>
      <c r="O50" s="11">
        <f t="shared" si="13"/>
        <v>50997.188698884747</v>
      </c>
      <c r="P50" s="11">
        <f t="shared" si="13"/>
        <v>53651.998875413454</v>
      </c>
      <c r="Q50" s="11">
        <f t="shared" si="13"/>
        <v>51811.470526315796</v>
      </c>
    </row>
    <row r="51" spans="1:17" s="6" customFormat="1" ht="37.5">
      <c r="A51" s="20">
        <v>12</v>
      </c>
      <c r="B51" s="7" t="s">
        <v>43</v>
      </c>
      <c r="C51" s="9" t="s">
        <v>7</v>
      </c>
      <c r="D51" s="11">
        <f>(57410+9260.03)/7.61*8.73</f>
        <v>76482.176333771349</v>
      </c>
      <c r="E51" s="11">
        <f>(9062.99+57410)/7.55*8.67</f>
        <v>76333.883880794703</v>
      </c>
      <c r="F51" s="11">
        <f>(57410+9182.6)/7.46*8.51</f>
        <v>75965.553083109931</v>
      </c>
      <c r="G51" s="11">
        <f>(57410+9064.78)/7.44*8.49</f>
        <v>75856.301370967733</v>
      </c>
      <c r="H51" s="11">
        <f>(57410+9246.31)/7.39*8.41</f>
        <v>75856.504343707726</v>
      </c>
      <c r="I51" s="11">
        <f>(57410+10245.48)/7.69*8.95</f>
        <v>78740.773211963577</v>
      </c>
      <c r="J51" s="11">
        <f>(10470.98+57410)/7.85*9.18</f>
        <v>79381.833936305717</v>
      </c>
      <c r="K51" s="11"/>
      <c r="L51" s="11">
        <f>(12896.3+57410)/8.48*10.03</f>
        <v>83157.097759433949</v>
      </c>
      <c r="M51" s="11"/>
      <c r="N51" s="11">
        <f>(57410+12529.86)/8.75*10.28</f>
        <v>82169.344091428575</v>
      </c>
      <c r="O51" s="11">
        <f>(57410+10228.73)/8.07*9.36</f>
        <v>78450.868996282516</v>
      </c>
      <c r="P51" s="11">
        <f>(57410+11696.38)/9.07*10.71</f>
        <v>81601.910672546859</v>
      </c>
      <c r="Q51" s="11">
        <f>(57410+11006.53)/8.17*9.46</f>
        <v>79219.14</v>
      </c>
    </row>
    <row r="52" spans="1:17" s="6" customFormat="1" ht="30.75" customHeight="1">
      <c r="A52" s="61" t="s">
        <v>49</v>
      </c>
      <c r="B52" s="61"/>
      <c r="C52" s="22">
        <v>1</v>
      </c>
      <c r="D52" s="11">
        <f>D51*$C$52</f>
        <v>76482.176333771349</v>
      </c>
      <c r="E52" s="11">
        <f t="shared" ref="E52:Q52" si="14">E51*$C$52</f>
        <v>76333.883880794703</v>
      </c>
      <c r="F52" s="11">
        <f t="shared" si="14"/>
        <v>75965.553083109931</v>
      </c>
      <c r="G52" s="11">
        <f t="shared" si="14"/>
        <v>75856.301370967733</v>
      </c>
      <c r="H52" s="11">
        <f t="shared" si="14"/>
        <v>75856.504343707726</v>
      </c>
      <c r="I52" s="11">
        <f t="shared" si="14"/>
        <v>78740.773211963577</v>
      </c>
      <c r="J52" s="11">
        <f t="shared" si="14"/>
        <v>79381.833936305717</v>
      </c>
      <c r="K52" s="11">
        <f t="shared" si="14"/>
        <v>0</v>
      </c>
      <c r="L52" s="11">
        <f t="shared" si="14"/>
        <v>83157.097759433949</v>
      </c>
      <c r="M52" s="11">
        <f t="shared" si="14"/>
        <v>0</v>
      </c>
      <c r="N52" s="11">
        <f t="shared" si="14"/>
        <v>82169.344091428575</v>
      </c>
      <c r="O52" s="11">
        <f t="shared" si="14"/>
        <v>78450.868996282516</v>
      </c>
      <c r="P52" s="11">
        <f t="shared" si="14"/>
        <v>81601.910672546859</v>
      </c>
      <c r="Q52" s="11">
        <f t="shared" si="14"/>
        <v>79219.14</v>
      </c>
    </row>
    <row r="53" spans="1:17" s="6" customFormat="1" ht="37.5">
      <c r="A53" s="20">
        <v>13</v>
      </c>
      <c r="B53" s="7" t="s">
        <v>36</v>
      </c>
      <c r="C53" s="9" t="s">
        <v>7</v>
      </c>
      <c r="D53" s="11">
        <f>(173730+15639.28)/7.61*8.73</f>
        <v>217239.66023653088</v>
      </c>
      <c r="E53" s="11">
        <f>(15522.95+173730)/7.55*8.67</f>
        <v>217327.5598013245</v>
      </c>
      <c r="F53" s="11">
        <f>(173730+15410.06)/7.46*8.51</f>
        <v>215761.65021447718</v>
      </c>
      <c r="G53" s="11">
        <f>(173730+15376.61)/7.44*8.49</f>
        <v>215795.04286290321</v>
      </c>
      <c r="H53" s="11">
        <f>(173730+15288.17)/7.39*8.41</f>
        <v>215107.28142083899</v>
      </c>
      <c r="I53" s="11">
        <f>(16335.49+173730)/7.69*8.95</f>
        <v>221207.55988296485</v>
      </c>
      <c r="J53" s="11">
        <f>(173730+16687.72)/7.85*9.18</f>
        <v>222679.57574522292</v>
      </c>
      <c r="K53" s="11"/>
      <c r="L53" s="11">
        <f>(173730+18454.64)/8.48*10.03</f>
        <v>227312.72867924528</v>
      </c>
      <c r="M53" s="11"/>
      <c r="N53" s="11">
        <f>(173730+18482.52)/8.75*10.28</f>
        <v>225822.2520685714</v>
      </c>
      <c r="O53" s="11">
        <f>(173730+16885.99)/8.07*9.36</f>
        <v>221086.20401486984</v>
      </c>
      <c r="P53" s="11">
        <f>(173730+19043.41)/9.07*10.71</f>
        <v>227629.90309812571</v>
      </c>
      <c r="Q53" s="11">
        <f>(17220.53+173730)/8.17*9.46</f>
        <v>221100.61368421055</v>
      </c>
    </row>
    <row r="54" spans="1:17" s="6" customFormat="1" ht="28.5" customHeight="1">
      <c r="A54" s="61" t="s">
        <v>49</v>
      </c>
      <c r="B54" s="61"/>
      <c r="C54" s="22">
        <v>0</v>
      </c>
      <c r="D54" s="11">
        <f>D53*$C$54</f>
        <v>0</v>
      </c>
      <c r="E54" s="11">
        <f t="shared" ref="E54:Q54" si="15">E53*$C$54</f>
        <v>0</v>
      </c>
      <c r="F54" s="11">
        <f t="shared" si="15"/>
        <v>0</v>
      </c>
      <c r="G54" s="11">
        <f t="shared" si="15"/>
        <v>0</v>
      </c>
      <c r="H54" s="11">
        <f t="shared" si="15"/>
        <v>0</v>
      </c>
      <c r="I54" s="11">
        <f t="shared" si="15"/>
        <v>0</v>
      </c>
      <c r="J54" s="11">
        <f t="shared" si="15"/>
        <v>0</v>
      </c>
      <c r="K54" s="11">
        <f t="shared" si="15"/>
        <v>0</v>
      </c>
      <c r="L54" s="11">
        <f t="shared" si="15"/>
        <v>0</v>
      </c>
      <c r="M54" s="11">
        <f t="shared" si="15"/>
        <v>0</v>
      </c>
      <c r="N54" s="11">
        <f t="shared" si="15"/>
        <v>0</v>
      </c>
      <c r="O54" s="11">
        <f t="shared" si="15"/>
        <v>0</v>
      </c>
      <c r="P54" s="11">
        <f t="shared" si="15"/>
        <v>0</v>
      </c>
      <c r="Q54" s="11">
        <f t="shared" si="15"/>
        <v>0</v>
      </c>
    </row>
    <row r="55" spans="1:17" ht="56.25">
      <c r="A55" s="20">
        <v>14</v>
      </c>
      <c r="B55" s="7" t="s">
        <v>37</v>
      </c>
      <c r="C55" s="9" t="s">
        <v>7</v>
      </c>
      <c r="D55" s="11">
        <f>(104110+21725.12)/7.61*8.73</f>
        <v>144354.87484888302</v>
      </c>
      <c r="E55" s="11">
        <f>(21560.71+104110)/7.55*8.67</f>
        <v>144313.25241059603</v>
      </c>
      <c r="F55" s="11">
        <f>(104110+21375.95)/7.46*8.51</f>
        <v>143148.18156836461</v>
      </c>
      <c r="G55" s="11">
        <f>(104110+21326.5)/7.44*8.49</f>
        <v>143139.2318548387</v>
      </c>
      <c r="H55" s="11">
        <f>(104110+21198.07)/7.39*8.41</f>
        <v>142603.63581867391</v>
      </c>
      <c r="I55" s="11">
        <f>(104110+22485.31)/7.69*8.95</f>
        <v>147337.8445383615</v>
      </c>
      <c r="J55" s="11">
        <f>(104110+22965.49)/7.85*9.18</f>
        <v>148605.477477707</v>
      </c>
      <c r="K55" s="36"/>
      <c r="L55" s="11">
        <f>(104110+25404.17)/8.48*10.03</f>
        <v>153187.16097877358</v>
      </c>
      <c r="M55" s="36"/>
      <c r="N55" s="11">
        <f>(104110+25479.94)/8.75*10.28</f>
        <v>152249.66665142856</v>
      </c>
      <c r="O55" s="11">
        <f>(23339.6+104110)/8.07*9.36</f>
        <v>147822.58438661709</v>
      </c>
      <c r="P55" s="11">
        <f>(26296.84+104110)/9.07*10.71</f>
        <v>153986.46707828005</v>
      </c>
      <c r="Q55" s="11">
        <f>(23754.2+104110)/8.17*9.46</f>
        <v>148053.28421052633</v>
      </c>
    </row>
    <row r="56" spans="1:17" ht="34.5" customHeight="1">
      <c r="A56" s="61" t="s">
        <v>49</v>
      </c>
      <c r="B56" s="61"/>
      <c r="C56" s="22">
        <v>0</v>
      </c>
      <c r="D56" s="11">
        <f t="shared" ref="D56:Q56" si="16">D55*$C$56</f>
        <v>0</v>
      </c>
      <c r="E56" s="11">
        <f t="shared" si="16"/>
        <v>0</v>
      </c>
      <c r="F56" s="11">
        <f t="shared" si="16"/>
        <v>0</v>
      </c>
      <c r="G56" s="11">
        <f t="shared" si="16"/>
        <v>0</v>
      </c>
      <c r="H56" s="11">
        <f t="shared" si="16"/>
        <v>0</v>
      </c>
      <c r="I56" s="11">
        <f t="shared" si="16"/>
        <v>0</v>
      </c>
      <c r="J56" s="11">
        <f t="shared" si="16"/>
        <v>0</v>
      </c>
      <c r="K56" s="11">
        <f t="shared" si="16"/>
        <v>0</v>
      </c>
      <c r="L56" s="11">
        <f t="shared" si="16"/>
        <v>0</v>
      </c>
      <c r="M56" s="11">
        <f t="shared" si="16"/>
        <v>0</v>
      </c>
      <c r="N56" s="11">
        <f t="shared" si="16"/>
        <v>0</v>
      </c>
      <c r="O56" s="11">
        <f t="shared" si="16"/>
        <v>0</v>
      </c>
      <c r="P56" s="11">
        <f t="shared" si="16"/>
        <v>0</v>
      </c>
      <c r="Q56" s="11">
        <f t="shared" si="16"/>
        <v>0</v>
      </c>
    </row>
    <row r="57" spans="1:17" ht="40.5" customHeight="1">
      <c r="A57" s="20">
        <v>15</v>
      </c>
      <c r="B57" s="17" t="s">
        <v>38</v>
      </c>
      <c r="C57" s="9" t="s">
        <v>7</v>
      </c>
      <c r="D57" s="11">
        <f>(96390+21725.12)/7.61*8.73</f>
        <v>135498.6856241787</v>
      </c>
      <c r="E57" s="11">
        <f>(21560.71+96390)/7.55*8.67</f>
        <v>135448.03386754965</v>
      </c>
      <c r="F57" s="11">
        <f>117532.35/7.46*8.51</f>
        <v>134075.10703753351</v>
      </c>
      <c r="G57" s="11">
        <f>(96390+21326.5)/7.44*8.49</f>
        <v>134329.71572580645</v>
      </c>
      <c r="H57" s="11">
        <f>(96390+21198.07)/7.39*8.41</f>
        <v>133818.08778078484</v>
      </c>
      <c r="I57" s="11">
        <f>(96390+22485.31)/7.69*8.95</f>
        <v>138352.92906371909</v>
      </c>
      <c r="J57" s="11">
        <f>(96390+22965.49)/7.85*9.18</f>
        <v>139577.50295541403</v>
      </c>
      <c r="K57" s="36"/>
      <c r="L57" s="11">
        <f>(96390+25404.17)/8.48*10.03</f>
        <v>144056.07607311319</v>
      </c>
      <c r="M57" s="36"/>
      <c r="N57" s="11">
        <f>(96390+25479.94)</f>
        <v>121869.94</v>
      </c>
      <c r="O57" s="11">
        <f>(96390+23339.6)/8.07*9.36</f>
        <v>138868.53234200744</v>
      </c>
      <c r="P57" s="11">
        <f>(96390+26296.84)/9.07*10.71</f>
        <v>144870.56851157662</v>
      </c>
      <c r="Q57" s="11">
        <f>(23754.2+96390)/8.17*9.46</f>
        <v>139114.33684210526</v>
      </c>
    </row>
    <row r="58" spans="1:17" ht="33" customHeight="1">
      <c r="A58" s="61" t="s">
        <v>49</v>
      </c>
      <c r="B58" s="61"/>
      <c r="C58" s="22">
        <v>0</v>
      </c>
      <c r="D58" s="11">
        <f>D57*$C$58</f>
        <v>0</v>
      </c>
      <c r="E58" s="11">
        <f t="shared" ref="E58:Q58" si="17">E57*$C$58</f>
        <v>0</v>
      </c>
      <c r="F58" s="11">
        <f t="shared" si="17"/>
        <v>0</v>
      </c>
      <c r="G58" s="11">
        <f t="shared" si="17"/>
        <v>0</v>
      </c>
      <c r="H58" s="11">
        <f t="shared" si="17"/>
        <v>0</v>
      </c>
      <c r="I58" s="11">
        <f t="shared" si="17"/>
        <v>0</v>
      </c>
      <c r="J58" s="11">
        <f t="shared" si="17"/>
        <v>0</v>
      </c>
      <c r="K58" s="11">
        <f t="shared" si="17"/>
        <v>0</v>
      </c>
      <c r="L58" s="11">
        <f t="shared" si="17"/>
        <v>0</v>
      </c>
      <c r="M58" s="11">
        <f t="shared" si="17"/>
        <v>0</v>
      </c>
      <c r="N58" s="11">
        <f t="shared" si="17"/>
        <v>0</v>
      </c>
      <c r="O58" s="11">
        <f t="shared" si="17"/>
        <v>0</v>
      </c>
      <c r="P58" s="11">
        <f t="shared" si="17"/>
        <v>0</v>
      </c>
      <c r="Q58" s="11">
        <f t="shared" si="17"/>
        <v>0</v>
      </c>
    </row>
    <row r="59" spans="1:17" s="13" customFormat="1" ht="33" customHeight="1">
      <c r="A59" s="39">
        <v>16</v>
      </c>
      <c r="B59" s="12" t="s">
        <v>39</v>
      </c>
      <c r="C59" s="12" t="s">
        <v>40</v>
      </c>
      <c r="D59" s="10">
        <f>222.46/9.61*10.92</f>
        <v>252.78493236212282</v>
      </c>
      <c r="E59" s="11">
        <f>218.75/9.45*10.75</f>
        <v>248.84259259259261</v>
      </c>
      <c r="F59" s="11">
        <f>229.16/9.9*11.18</f>
        <v>258.78876767676763</v>
      </c>
      <c r="G59" s="11">
        <f>228.99/9.89*11.18</f>
        <v>258.85826086956519</v>
      </c>
      <c r="H59" s="11">
        <f>224.77/10.09*11.36</f>
        <v>253.06116947472745</v>
      </c>
      <c r="I59" s="11">
        <f>363.19/15.69*18.08</f>
        <v>418.5133970681963</v>
      </c>
      <c r="J59" s="11">
        <f>370.6/16.01*18.53</f>
        <v>428.93304184884448</v>
      </c>
      <c r="K59" s="11"/>
      <c r="L59" s="11">
        <f>436.8/18.45*21.61</f>
        <v>511.61235772357725</v>
      </c>
      <c r="M59" s="11"/>
      <c r="N59" s="11">
        <f>341.89/14.77*17.17</f>
        <v>397.44423155044012</v>
      </c>
      <c r="O59" s="11">
        <f>251.86/10.88*12.48</f>
        <v>288.89823529411763</v>
      </c>
      <c r="P59" s="11">
        <f>287.22/12.73*14.53</f>
        <v>327.8324116260801</v>
      </c>
      <c r="Q59" s="11">
        <f>287.04/12.4*14.2</f>
        <v>328.70709677419353</v>
      </c>
    </row>
    <row r="60" spans="1:17" ht="33" customHeight="1">
      <c r="A60" s="62" t="s">
        <v>47</v>
      </c>
      <c r="B60" s="64"/>
      <c r="C60" s="22">
        <v>0.3</v>
      </c>
      <c r="D60" s="11">
        <f>D59*$C$60</f>
        <v>75.835479708636839</v>
      </c>
      <c r="E60" s="11">
        <f t="shared" ref="E60:Q60" si="18">E59*$C$60</f>
        <v>74.652777777777786</v>
      </c>
      <c r="F60" s="11">
        <f t="shared" si="18"/>
        <v>77.636630303030287</v>
      </c>
      <c r="G60" s="11">
        <f t="shared" si="18"/>
        <v>77.657478260869553</v>
      </c>
      <c r="H60" s="11">
        <f t="shared" si="18"/>
        <v>75.918350842418235</v>
      </c>
      <c r="I60" s="11">
        <f t="shared" si="18"/>
        <v>125.55401912045889</v>
      </c>
      <c r="J60" s="11">
        <f t="shared" si="18"/>
        <v>128.67991255465333</v>
      </c>
      <c r="K60" s="11">
        <f t="shared" si="18"/>
        <v>0</v>
      </c>
      <c r="L60" s="11">
        <f t="shared" si="18"/>
        <v>153.48370731707317</v>
      </c>
      <c r="M60" s="11">
        <f t="shared" si="18"/>
        <v>0</v>
      </c>
      <c r="N60" s="11">
        <f t="shared" si="18"/>
        <v>119.23326946513203</v>
      </c>
      <c r="O60" s="11">
        <f t="shared" si="18"/>
        <v>86.669470588235285</v>
      </c>
      <c r="P60" s="11">
        <f t="shared" si="18"/>
        <v>98.349723487824022</v>
      </c>
      <c r="Q60" s="11">
        <f t="shared" si="18"/>
        <v>98.612129032258053</v>
      </c>
    </row>
    <row r="61" spans="1:17" ht="33" customHeight="1">
      <c r="A61" s="62" t="s">
        <v>53</v>
      </c>
      <c r="B61" s="63"/>
      <c r="C61" s="64"/>
      <c r="D61" s="11">
        <f>D44+D46+D48+D50+D52+D54+D56+D58+D60</f>
        <v>260704.90349547737</v>
      </c>
      <c r="E61" s="11">
        <f t="shared" ref="E61:Q61" si="19">E44+E46+E48+E50+E52+E54+E56+E58+E60</f>
        <v>265606.27571817511</v>
      </c>
      <c r="F61" s="11">
        <f t="shared" si="19"/>
        <v>266702.32483405637</v>
      </c>
      <c r="G61" s="11">
        <f t="shared" si="19"/>
        <v>272284.99602664792</v>
      </c>
      <c r="H61" s="11">
        <f>H44+H46+H48+H50+H52+H54+H56+H58+H60</f>
        <v>259153.1265240495</v>
      </c>
      <c r="I61" s="11">
        <f t="shared" si="19"/>
        <v>304951.52072913345</v>
      </c>
      <c r="J61" s="11">
        <f t="shared" si="19"/>
        <v>309737.82712274574</v>
      </c>
      <c r="K61" s="11">
        <f t="shared" si="19"/>
        <v>0</v>
      </c>
      <c r="L61" s="11">
        <f t="shared" si="19"/>
        <v>594036.1707356188</v>
      </c>
      <c r="M61" s="11">
        <f t="shared" si="19"/>
        <v>0</v>
      </c>
      <c r="N61" s="11">
        <f t="shared" si="19"/>
        <v>405903.65877803654</v>
      </c>
      <c r="O61" s="11">
        <f t="shared" si="19"/>
        <v>293924.4651583205</v>
      </c>
      <c r="P61" s="11">
        <f t="shared" si="19"/>
        <v>282426.13574333343</v>
      </c>
      <c r="Q61" s="11">
        <f t="shared" si="19"/>
        <v>288903.42686587438</v>
      </c>
    </row>
    <row r="62" spans="1:17" ht="67.5" customHeight="1">
      <c r="A62" s="66" t="s">
        <v>64</v>
      </c>
      <c r="B62" s="67"/>
      <c r="C62" s="68"/>
      <c r="D62" s="11">
        <f>D41+D61</f>
        <v>820823.50853630074</v>
      </c>
      <c r="E62" s="11">
        <f t="shared" ref="E62:Q62" si="20">E41+E61</f>
        <v>783564.62031371112</v>
      </c>
      <c r="F62" s="11">
        <f t="shared" si="20"/>
        <v>824290.81219479511</v>
      </c>
      <c r="G62" s="11">
        <f t="shared" si="20"/>
        <v>842970.28984502098</v>
      </c>
      <c r="H62" s="11">
        <f t="shared" si="20"/>
        <v>818414.51598710939</v>
      </c>
      <c r="I62" s="11">
        <f t="shared" si="20"/>
        <v>1429448.4709449948</v>
      </c>
      <c r="J62" s="11">
        <f t="shared" si="20"/>
        <v>1462198.2226479629</v>
      </c>
      <c r="K62" s="11">
        <f t="shared" si="20"/>
        <v>251321.04000000007</v>
      </c>
      <c r="L62" s="11">
        <f t="shared" si="20"/>
        <v>1990003.7155197111</v>
      </c>
      <c r="M62" s="11">
        <f t="shared" si="20"/>
        <v>557500.78</v>
      </c>
      <c r="N62" s="11">
        <f t="shared" si="20"/>
        <v>1487303.8280277047</v>
      </c>
      <c r="O62" s="11">
        <f t="shared" si="20"/>
        <v>944567.9071088999</v>
      </c>
      <c r="P62" s="11">
        <f t="shared" si="20"/>
        <v>1034995.6526578267</v>
      </c>
      <c r="Q62" s="11">
        <f t="shared" si="20"/>
        <v>1052280.4407877759</v>
      </c>
    </row>
    <row r="63" spans="1:17" ht="17.25" customHeight="1">
      <c r="A63" s="41"/>
      <c r="B63" s="41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1:17" ht="31.5" customHeight="1">
      <c r="A64" s="55" t="s">
        <v>98</v>
      </c>
      <c r="B64" s="55"/>
      <c r="C64" s="55"/>
      <c r="D64" s="55"/>
      <c r="E64" s="46"/>
      <c r="F64" s="53"/>
      <c r="G64" s="53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8" ht="33" customHeight="1">
      <c r="A65" s="56" t="s">
        <v>83</v>
      </c>
      <c r="B65" s="56"/>
      <c r="C65" s="56"/>
      <c r="D65" s="11">
        <f>D41/$G$4</f>
        <v>2800.5930252041167</v>
      </c>
      <c r="E65" s="11">
        <f t="shared" ref="E65:Q65" si="21">E41/$G$4</f>
        <v>2589.7917229776799</v>
      </c>
      <c r="F65" s="11">
        <f t="shared" si="21"/>
        <v>2787.9424368036939</v>
      </c>
      <c r="G65" s="11">
        <f t="shared" si="21"/>
        <v>2853.4264690918649</v>
      </c>
      <c r="H65" s="11">
        <f t="shared" si="21"/>
        <v>2796.3069473152991</v>
      </c>
      <c r="I65" s="11">
        <f t="shared" si="21"/>
        <v>5622.484751079307</v>
      </c>
      <c r="J65" s="11">
        <f t="shared" si="21"/>
        <v>5762.3019776260853</v>
      </c>
      <c r="K65" s="11">
        <f t="shared" si="21"/>
        <v>1256.6052000000004</v>
      </c>
      <c r="L65" s="11">
        <f t="shared" si="21"/>
        <v>6979.8377239204619</v>
      </c>
      <c r="M65" s="11">
        <f t="shared" si="21"/>
        <v>2787.5039000000002</v>
      </c>
      <c r="N65" s="11">
        <f t="shared" si="21"/>
        <v>5407.0008462483411</v>
      </c>
      <c r="O65" s="11">
        <f t="shared" si="21"/>
        <v>3253.2172097528969</v>
      </c>
      <c r="P65" s="11">
        <f t="shared" si="21"/>
        <v>3762.8475845724665</v>
      </c>
      <c r="Q65" s="11">
        <f t="shared" si="21"/>
        <v>3816.8850696095074</v>
      </c>
    </row>
    <row r="66" spans="1:18" ht="33" customHeight="1">
      <c r="A66" s="56" t="s">
        <v>84</v>
      </c>
      <c r="B66" s="56"/>
      <c r="C66" s="56"/>
      <c r="D66" s="11">
        <f>D61/$G$4</f>
        <v>1303.5245174773868</v>
      </c>
      <c r="E66" s="11">
        <f t="shared" ref="E66:Q66" si="22">E61/$G$4</f>
        <v>1328.0313785908756</v>
      </c>
      <c r="F66" s="11">
        <f t="shared" si="22"/>
        <v>1333.5116241702819</v>
      </c>
      <c r="G66" s="11">
        <f t="shared" si="22"/>
        <v>1361.4249801332396</v>
      </c>
      <c r="H66" s="11">
        <f t="shared" si="22"/>
        <v>1295.7656326202475</v>
      </c>
      <c r="I66" s="11">
        <f t="shared" si="22"/>
        <v>1524.7576036456674</v>
      </c>
      <c r="J66" s="11">
        <f t="shared" si="22"/>
        <v>1548.6891356137287</v>
      </c>
      <c r="K66" s="11">
        <f t="shared" si="22"/>
        <v>0</v>
      </c>
      <c r="L66" s="11">
        <f t="shared" si="22"/>
        <v>2970.1808536780941</v>
      </c>
      <c r="M66" s="11">
        <f t="shared" si="22"/>
        <v>0</v>
      </c>
      <c r="N66" s="11">
        <f t="shared" si="22"/>
        <v>2029.5182938901826</v>
      </c>
      <c r="O66" s="11">
        <f t="shared" si="22"/>
        <v>1469.6223257916024</v>
      </c>
      <c r="P66" s="11">
        <f t="shared" si="22"/>
        <v>1412.1306787166673</v>
      </c>
      <c r="Q66" s="11">
        <f t="shared" si="22"/>
        <v>1444.5171343293719</v>
      </c>
    </row>
    <row r="67" spans="1:18" s="45" customFormat="1" ht="35.25" customHeight="1">
      <c r="A67" s="56" t="s">
        <v>85</v>
      </c>
      <c r="B67" s="56"/>
      <c r="C67" s="56"/>
      <c r="D67" s="11">
        <f>D62/$G$4</f>
        <v>4104.1175426815034</v>
      </c>
      <c r="E67" s="11">
        <f t="shared" ref="E67:Q67" si="23">E62/$G$4</f>
        <v>3917.8231015685556</v>
      </c>
      <c r="F67" s="11">
        <f t="shared" si="23"/>
        <v>4121.4540609739752</v>
      </c>
      <c r="G67" s="11">
        <f t="shared" si="23"/>
        <v>4214.8514492251052</v>
      </c>
      <c r="H67" s="11">
        <f t="shared" si="23"/>
        <v>4092.0725799355469</v>
      </c>
      <c r="I67" s="11">
        <f t="shared" si="23"/>
        <v>7147.2423547249746</v>
      </c>
      <c r="J67" s="11">
        <f t="shared" si="23"/>
        <v>7310.9911132398147</v>
      </c>
      <c r="K67" s="11">
        <f t="shared" si="23"/>
        <v>1256.6052000000004</v>
      </c>
      <c r="L67" s="11">
        <f t="shared" si="23"/>
        <v>9950.0185775985556</v>
      </c>
      <c r="M67" s="11">
        <f t="shared" si="23"/>
        <v>2787.5039000000002</v>
      </c>
      <c r="N67" s="11">
        <f t="shared" si="23"/>
        <v>7436.5191401385237</v>
      </c>
      <c r="O67" s="11">
        <f t="shared" si="23"/>
        <v>4722.8395355444991</v>
      </c>
      <c r="P67" s="11">
        <f t="shared" si="23"/>
        <v>5174.9782632891329</v>
      </c>
      <c r="Q67" s="11">
        <f t="shared" si="23"/>
        <v>5261.4022039388792</v>
      </c>
    </row>
    <row r="68" spans="1:18" s="45" customFormat="1" ht="15.75" customHeight="1">
      <c r="A68" s="43"/>
      <c r="B68" s="43"/>
      <c r="C68" s="4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8" ht="40.5" customHeight="1">
      <c r="A69" s="65" t="s">
        <v>82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1:18" ht="15.75" customHeight="1">
      <c r="B70" s="16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8" ht="35.25" customHeight="1">
      <c r="A71" s="62" t="s">
        <v>50</v>
      </c>
      <c r="B71" s="64"/>
      <c r="C71" s="24">
        <f>F4</f>
        <v>642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8" ht="29.25" customHeight="1">
      <c r="A72" s="61" t="s">
        <v>51</v>
      </c>
      <c r="B72" s="61"/>
      <c r="C72" s="80">
        <v>40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8" ht="18.75">
      <c r="A73" s="45"/>
      <c r="B73" s="49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18" ht="24.75" customHeight="1">
      <c r="A74" s="74" t="s">
        <v>61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45"/>
    </row>
    <row r="75" spans="1:18" ht="48.75" customHeight="1">
      <c r="A75" s="56" t="s">
        <v>54</v>
      </c>
      <c r="B75" s="56"/>
      <c r="C75" s="56"/>
      <c r="D75" s="76">
        <f>D41/100*2</f>
        <v>11202.372100816467</v>
      </c>
      <c r="E75" s="76">
        <f t="shared" ref="E75:Q75" si="24">E41/100*2</f>
        <v>10359.16689191072</v>
      </c>
      <c r="F75" s="76">
        <f t="shared" si="24"/>
        <v>11151.769747214776</v>
      </c>
      <c r="G75" s="76">
        <f t="shared" si="24"/>
        <v>11413.705876367459</v>
      </c>
      <c r="H75" s="76">
        <f t="shared" si="24"/>
        <v>11185.227789261196</v>
      </c>
      <c r="I75" s="76">
        <f t="shared" si="24"/>
        <v>22489.939004317228</v>
      </c>
      <c r="J75" s="76">
        <f t="shared" si="24"/>
        <v>23049.207910504341</v>
      </c>
      <c r="K75" s="76">
        <f t="shared" si="24"/>
        <v>5026.4208000000017</v>
      </c>
      <c r="L75" s="76">
        <f t="shared" si="24"/>
        <v>27919.350895681848</v>
      </c>
      <c r="M75" s="76">
        <f t="shared" si="24"/>
        <v>11150.015600000001</v>
      </c>
      <c r="N75" s="76">
        <f t="shared" si="24"/>
        <v>21628.003384993364</v>
      </c>
      <c r="O75" s="76">
        <f t="shared" si="24"/>
        <v>13012.868839011588</v>
      </c>
      <c r="P75" s="76">
        <f t="shared" si="24"/>
        <v>15051.390338289866</v>
      </c>
      <c r="Q75" s="76">
        <f t="shared" si="24"/>
        <v>15267.540278438029</v>
      </c>
    </row>
    <row r="76" spans="1:18" ht="44.25" customHeight="1">
      <c r="A76" s="56" t="s">
        <v>55</v>
      </c>
      <c r="B76" s="56"/>
      <c r="C76" s="56"/>
      <c r="D76" s="77">
        <f>C72/C71</f>
        <v>6.2305295950155763E-2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9"/>
    </row>
    <row r="77" spans="1:18" ht="44.25" customHeight="1">
      <c r="A77" s="56" t="s">
        <v>56</v>
      </c>
      <c r="B77" s="56"/>
      <c r="C77" s="56"/>
      <c r="D77" s="76">
        <f>D75*$D$76</f>
        <v>697.96710908513808</v>
      </c>
      <c r="E77" s="76">
        <f t="shared" ref="E77:Q77" si="25">E75*$D$76</f>
        <v>645.43095899755258</v>
      </c>
      <c r="F77" s="76">
        <f t="shared" si="25"/>
        <v>694.81431446821034</v>
      </c>
      <c r="G77" s="76">
        <f t="shared" si="25"/>
        <v>711.13432251510653</v>
      </c>
      <c r="H77" s="76">
        <f t="shared" si="25"/>
        <v>696.89892767982531</v>
      </c>
      <c r="I77" s="76">
        <f t="shared" si="25"/>
        <v>1401.2423055649363</v>
      </c>
      <c r="J77" s="76">
        <f t="shared" si="25"/>
        <v>1436.0877202806444</v>
      </c>
      <c r="K77" s="76">
        <f t="shared" si="25"/>
        <v>313.17263551401879</v>
      </c>
      <c r="L77" s="76">
        <f t="shared" si="25"/>
        <v>1739.5234202917038</v>
      </c>
      <c r="M77" s="76">
        <f t="shared" si="25"/>
        <v>694.70502180685367</v>
      </c>
      <c r="N77" s="76">
        <f t="shared" si="25"/>
        <v>1347.5391517129822</v>
      </c>
      <c r="O77" s="76">
        <f t="shared" si="25"/>
        <v>810.77064417517681</v>
      </c>
      <c r="P77" s="76">
        <f t="shared" si="25"/>
        <v>937.78132948846519</v>
      </c>
      <c r="Q77" s="76">
        <f t="shared" si="25"/>
        <v>951.24861547900491</v>
      </c>
    </row>
    <row r="78" spans="1:18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</row>
    <row r="79" spans="1:18" ht="27.75" customHeight="1">
      <c r="A79" s="74" t="s">
        <v>62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8" ht="43.5" customHeight="1">
      <c r="A80" s="56" t="s">
        <v>57</v>
      </c>
      <c r="B80" s="56"/>
      <c r="C80" s="56"/>
      <c r="D80" s="76">
        <f>D61/100*20</f>
        <v>52140.980699095468</v>
      </c>
      <c r="E80" s="76">
        <f t="shared" ref="E80:Q80" si="26">E61/100*20</f>
        <v>53121.255143635026</v>
      </c>
      <c r="F80" s="76">
        <f t="shared" si="26"/>
        <v>53340.464966811276</v>
      </c>
      <c r="G80" s="76">
        <f t="shared" si="26"/>
        <v>54456.999205329586</v>
      </c>
      <c r="H80" s="76">
        <f t="shared" si="26"/>
        <v>51830.625304809902</v>
      </c>
      <c r="I80" s="76">
        <f t="shared" si="26"/>
        <v>60990.304145826696</v>
      </c>
      <c r="J80" s="76">
        <f t="shared" si="26"/>
        <v>61947.565424549146</v>
      </c>
      <c r="K80" s="76">
        <f t="shared" si="26"/>
        <v>0</v>
      </c>
      <c r="L80" s="76">
        <f t="shared" si="26"/>
        <v>118807.23414712376</v>
      </c>
      <c r="M80" s="76">
        <f t="shared" si="26"/>
        <v>0</v>
      </c>
      <c r="N80" s="76">
        <f t="shared" si="26"/>
        <v>81180.731755607296</v>
      </c>
      <c r="O80" s="76">
        <f t="shared" si="26"/>
        <v>58784.893031664098</v>
      </c>
      <c r="P80" s="76">
        <f t="shared" si="26"/>
        <v>56485.227148666687</v>
      </c>
      <c r="Q80" s="76">
        <f t="shared" si="26"/>
        <v>57780.685373174871</v>
      </c>
    </row>
    <row r="81" spans="1:17" ht="41.25" customHeight="1">
      <c r="A81" s="56" t="s">
        <v>55</v>
      </c>
      <c r="B81" s="56"/>
      <c r="C81" s="56"/>
      <c r="D81" s="77">
        <f>C72/C71</f>
        <v>6.2305295950155763E-2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9"/>
    </row>
    <row r="82" spans="1:17" ht="46.5" customHeight="1">
      <c r="A82" s="56" t="s">
        <v>58</v>
      </c>
      <c r="B82" s="56"/>
      <c r="C82" s="56"/>
      <c r="D82" s="76">
        <f>$D$81*D80</f>
        <v>3248.6592335885025</v>
      </c>
      <c r="E82" s="76">
        <f t="shared" ref="E82:Q82" si="27">$D$81*E80</f>
        <v>3309.7355229679142</v>
      </c>
      <c r="F82" s="76">
        <f t="shared" si="27"/>
        <v>3323.393455876092</v>
      </c>
      <c r="G82" s="76">
        <f t="shared" si="27"/>
        <v>3392.9594520454571</v>
      </c>
      <c r="H82" s="76">
        <f t="shared" si="27"/>
        <v>3229.322448897813</v>
      </c>
      <c r="I82" s="76">
        <f t="shared" si="27"/>
        <v>3800.0189498957443</v>
      </c>
      <c r="J82" s="76">
        <f t="shared" si="27"/>
        <v>3859.6613971681709</v>
      </c>
      <c r="K82" s="76">
        <f t="shared" si="27"/>
        <v>0</v>
      </c>
      <c r="L82" s="76">
        <f t="shared" si="27"/>
        <v>7402.3198845559973</v>
      </c>
      <c r="M82" s="76">
        <f t="shared" si="27"/>
        <v>0</v>
      </c>
      <c r="N82" s="76">
        <f t="shared" si="27"/>
        <v>5057.9895174833209</v>
      </c>
      <c r="O82" s="76">
        <f t="shared" si="27"/>
        <v>3662.610157736081</v>
      </c>
      <c r="P82" s="76">
        <f t="shared" si="27"/>
        <v>3519.328794309451</v>
      </c>
      <c r="Q82" s="76">
        <f t="shared" si="27"/>
        <v>3600.0427023784964</v>
      </c>
    </row>
    <row r="83" spans="1:17" ht="18.75" customHeight="1"/>
    <row r="84" spans="1:17" ht="19.5" customHeight="1">
      <c r="A84" s="73" t="s">
        <v>63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</row>
    <row r="85" spans="1:17" ht="46.5" customHeight="1">
      <c r="A85" s="56" t="s">
        <v>59</v>
      </c>
      <c r="B85" s="56"/>
      <c r="C85" s="56"/>
      <c r="D85" s="76">
        <f>D80+D75</f>
        <v>63343.352799911932</v>
      </c>
      <c r="E85" s="76">
        <f t="shared" ref="E85:Q85" si="28">E80+E75</f>
        <v>63480.422035545744</v>
      </c>
      <c r="F85" s="76">
        <f t="shared" si="28"/>
        <v>64492.234714026054</v>
      </c>
      <c r="G85" s="76">
        <f t="shared" si="28"/>
        <v>65870.705081697044</v>
      </c>
      <c r="H85" s="76">
        <f t="shared" si="28"/>
        <v>63015.853094071099</v>
      </c>
      <c r="I85" s="76">
        <f t="shared" si="28"/>
        <v>83480.243150143928</v>
      </c>
      <c r="J85" s="76">
        <f t="shared" si="28"/>
        <v>84996.773335053484</v>
      </c>
      <c r="K85" s="76">
        <f t="shared" si="28"/>
        <v>5026.4208000000017</v>
      </c>
      <c r="L85" s="76">
        <f t="shared" si="28"/>
        <v>146726.58504280561</v>
      </c>
      <c r="M85" s="76">
        <f t="shared" si="28"/>
        <v>11150.015600000001</v>
      </c>
      <c r="N85" s="76">
        <f t="shared" si="28"/>
        <v>102808.73514060066</v>
      </c>
      <c r="O85" s="76">
        <f t="shared" si="28"/>
        <v>71797.761870675691</v>
      </c>
      <c r="P85" s="76">
        <f t="shared" si="28"/>
        <v>71536.617486956558</v>
      </c>
      <c r="Q85" s="76">
        <f t="shared" si="28"/>
        <v>73048.225651612898</v>
      </c>
    </row>
    <row r="86" spans="1:17" ht="45.75" customHeight="1">
      <c r="A86" s="56" t="s">
        <v>60</v>
      </c>
      <c r="B86" s="56"/>
      <c r="C86" s="56"/>
      <c r="D86" s="76">
        <f>D82+D77</f>
        <v>3946.6263426736405</v>
      </c>
      <c r="E86" s="76">
        <f t="shared" ref="E86:P86" si="29">E82+E77</f>
        <v>3955.166481965467</v>
      </c>
      <c r="F86" s="76">
        <f t="shared" si="29"/>
        <v>4018.2077703443024</v>
      </c>
      <c r="G86" s="76">
        <f t="shared" si="29"/>
        <v>4104.0937745605634</v>
      </c>
      <c r="H86" s="76">
        <f t="shared" si="29"/>
        <v>3926.2213765776382</v>
      </c>
      <c r="I86" s="76">
        <f t="shared" si="29"/>
        <v>5201.2612554606803</v>
      </c>
      <c r="J86" s="76">
        <f t="shared" si="29"/>
        <v>5295.749117448815</v>
      </c>
      <c r="K86" s="76">
        <f t="shared" si="29"/>
        <v>313.17263551401879</v>
      </c>
      <c r="L86" s="76">
        <f t="shared" si="29"/>
        <v>9141.8433048477018</v>
      </c>
      <c r="M86" s="76">
        <f t="shared" si="29"/>
        <v>694.70502180685367</v>
      </c>
      <c r="N86" s="76">
        <f t="shared" si="29"/>
        <v>6405.5286691963029</v>
      </c>
      <c r="O86" s="76">
        <f t="shared" si="29"/>
        <v>4473.3808019112575</v>
      </c>
      <c r="P86" s="76">
        <f t="shared" si="29"/>
        <v>4457.1101237979165</v>
      </c>
      <c r="Q86" s="76">
        <f>Q82+Q77</f>
        <v>4551.2913178575018</v>
      </c>
    </row>
    <row r="91" spans="1:17" ht="18.75">
      <c r="B91" s="23"/>
    </row>
  </sheetData>
  <mergeCells count="52">
    <mergeCell ref="B1:J1"/>
    <mergeCell ref="A11:Q11"/>
    <mergeCell ref="A86:C86"/>
    <mergeCell ref="A84:Q84"/>
    <mergeCell ref="D81:Q81"/>
    <mergeCell ref="A79:Q79"/>
    <mergeCell ref="A85:C85"/>
    <mergeCell ref="A80:C80"/>
    <mergeCell ref="A81:C81"/>
    <mergeCell ref="A82:C82"/>
    <mergeCell ref="A75:C75"/>
    <mergeCell ref="A76:C76"/>
    <mergeCell ref="A77:C77"/>
    <mergeCell ref="D76:Q76"/>
    <mergeCell ref="A74:Q74"/>
    <mergeCell ref="A72:B72"/>
    <mergeCell ref="A71:B71"/>
    <mergeCell ref="A44:B44"/>
    <mergeCell ref="A46:B46"/>
    <mergeCell ref="A48:B48"/>
    <mergeCell ref="A50:B50"/>
    <mergeCell ref="A60:B60"/>
    <mergeCell ref="A69:Q69"/>
    <mergeCell ref="A62:C62"/>
    <mergeCell ref="A52:B52"/>
    <mergeCell ref="A54:B54"/>
    <mergeCell ref="A56:B56"/>
    <mergeCell ref="A58:B58"/>
    <mergeCell ref="A65:C65"/>
    <mergeCell ref="A66:C66"/>
    <mergeCell ref="A67:C67"/>
    <mergeCell ref="A33:B33"/>
    <mergeCell ref="A40:B40"/>
    <mergeCell ref="A41:C41"/>
    <mergeCell ref="A19:B19"/>
    <mergeCell ref="A61:C61"/>
    <mergeCell ref="F64:G64"/>
    <mergeCell ref="B2:G2"/>
    <mergeCell ref="B6:G6"/>
    <mergeCell ref="A64:D64"/>
    <mergeCell ref="A21:B21"/>
    <mergeCell ref="A14:A15"/>
    <mergeCell ref="A17:Q17"/>
    <mergeCell ref="A42:Q42"/>
    <mergeCell ref="B14:B15"/>
    <mergeCell ref="C14:Q14"/>
    <mergeCell ref="B35:D35"/>
    <mergeCell ref="A23:B23"/>
    <mergeCell ref="A25:B25"/>
    <mergeCell ref="A27:B27"/>
    <mergeCell ref="A29:B29"/>
    <mergeCell ref="A31:B3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orientation="landscape" horizontalDpi="180" verticalDpi="180" r:id="rId1"/>
  <rowBreaks count="2" manualBreakCount="2">
    <brk id="41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2020-07-17T10:01:27Z</dcterms:modified>
</cp:coreProperties>
</file>