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12" i="1"/>
  <c r="L49"/>
  <c r="L24"/>
  <c r="L47"/>
  <c r="L45"/>
  <c r="L43"/>
  <c r="L41"/>
  <c r="L39"/>
  <c r="L37"/>
  <c r="L35"/>
  <c r="L33"/>
  <c r="L22"/>
  <c r="L20"/>
  <c r="L18"/>
  <c r="L16"/>
  <c r="L14"/>
  <c r="L12"/>
  <c r="L10"/>
  <c r="L8"/>
  <c r="Q49"/>
  <c r="Q24"/>
  <c r="P49"/>
  <c r="P24"/>
  <c r="O49"/>
  <c r="O24"/>
  <c r="N49"/>
  <c r="N24"/>
  <c r="J49"/>
  <c r="J24"/>
  <c r="I49"/>
  <c r="I24"/>
  <c r="H49"/>
  <c r="H24"/>
  <c r="G49"/>
  <c r="G24"/>
  <c r="F49"/>
  <c r="F24"/>
  <c r="E49"/>
  <c r="E24"/>
  <c r="D49"/>
  <c r="D24"/>
  <c r="Q47"/>
  <c r="Q45"/>
  <c r="Q43"/>
  <c r="Q41"/>
  <c r="Q39"/>
  <c r="Q37"/>
  <c r="Q35"/>
  <c r="Q33"/>
  <c r="Q22"/>
  <c r="P47"/>
  <c r="P45"/>
  <c r="P43"/>
  <c r="P41"/>
  <c r="P39"/>
  <c r="P37"/>
  <c r="P35"/>
  <c r="P33"/>
  <c r="P22"/>
  <c r="O47"/>
  <c r="O45"/>
  <c r="O43"/>
  <c r="O41"/>
  <c r="O39"/>
  <c r="O37"/>
  <c r="O35"/>
  <c r="O33"/>
  <c r="O22"/>
  <c r="N47"/>
  <c r="N45"/>
  <c r="N43"/>
  <c r="N41"/>
  <c r="N39"/>
  <c r="N37"/>
  <c r="N35"/>
  <c r="N33"/>
  <c r="N22"/>
  <c r="J47"/>
  <c r="J45"/>
  <c r="J43"/>
  <c r="J41"/>
  <c r="J39"/>
  <c r="J37"/>
  <c r="J35"/>
  <c r="J33"/>
  <c r="J22"/>
  <c r="I47"/>
  <c r="I45"/>
  <c r="I43"/>
  <c r="I41"/>
  <c r="I39"/>
  <c r="I37"/>
  <c r="I35"/>
  <c r="I33"/>
  <c r="I22"/>
  <c r="H47"/>
  <c r="H45"/>
  <c r="H43"/>
  <c r="H41"/>
  <c r="H39"/>
  <c r="H37"/>
  <c r="H35"/>
  <c r="H33"/>
  <c r="H22"/>
  <c r="G47"/>
  <c r="G45"/>
  <c r="G43"/>
  <c r="G41"/>
  <c r="G39"/>
  <c r="G37"/>
  <c r="G35"/>
  <c r="G33"/>
  <c r="G22"/>
  <c r="F47"/>
  <c r="F45"/>
  <c r="F43"/>
  <c r="F41"/>
  <c r="F39"/>
  <c r="F37"/>
  <c r="F35"/>
  <c r="F33"/>
  <c r="F22"/>
  <c r="E47"/>
  <c r="E45"/>
  <c r="E43"/>
  <c r="E41"/>
  <c r="E39"/>
  <c r="E37"/>
  <c r="E35"/>
  <c r="E33"/>
  <c r="E22"/>
  <c r="Q20"/>
  <c r="Q18"/>
  <c r="Q16"/>
  <c r="Q14"/>
  <c r="Q12"/>
  <c r="Q10"/>
  <c r="Q8"/>
  <c r="P20"/>
  <c r="P18"/>
  <c r="P16"/>
  <c r="P14"/>
  <c r="P12"/>
  <c r="P10"/>
  <c r="P8"/>
  <c r="O20"/>
  <c r="O18"/>
  <c r="O16"/>
  <c r="O14"/>
  <c r="O12"/>
  <c r="O10"/>
  <c r="O8"/>
  <c r="N20"/>
  <c r="N18"/>
  <c r="N16"/>
  <c r="N14"/>
  <c r="N12"/>
  <c r="N10"/>
  <c r="N8"/>
  <c r="J8"/>
  <c r="J10"/>
  <c r="J12"/>
  <c r="J14"/>
  <c r="J16"/>
  <c r="J18"/>
  <c r="J20"/>
  <c r="I20"/>
  <c r="I18"/>
  <c r="I16"/>
  <c r="I14"/>
  <c r="I12"/>
  <c r="I10"/>
  <c r="I8"/>
  <c r="H20"/>
  <c r="H18"/>
  <c r="H16"/>
  <c r="H14"/>
  <c r="H12"/>
  <c r="H10"/>
  <c r="H8"/>
  <c r="G20"/>
  <c r="G18"/>
  <c r="G16"/>
  <c r="G14"/>
  <c r="G12"/>
  <c r="G10"/>
  <c r="G8"/>
  <c r="F20"/>
  <c r="F18"/>
  <c r="F16"/>
  <c r="F14"/>
  <c r="F12"/>
  <c r="F10"/>
  <c r="F8"/>
  <c r="E20"/>
  <c r="E18"/>
  <c r="E16"/>
  <c r="E14"/>
  <c r="E12"/>
  <c r="E10"/>
  <c r="E8"/>
  <c r="D47"/>
  <c r="D45"/>
  <c r="D43"/>
  <c r="D41"/>
  <c r="D39"/>
  <c r="D37"/>
  <c r="D35"/>
  <c r="D33"/>
  <c r="D22"/>
  <c r="D20"/>
  <c r="D18"/>
  <c r="D16"/>
  <c r="D14"/>
  <c r="D10"/>
  <c r="D8"/>
  <c r="L17" l="1"/>
  <c r="K11"/>
  <c r="L11"/>
  <c r="K9"/>
  <c r="L9"/>
  <c r="J34"/>
  <c r="N40"/>
  <c r="J11"/>
  <c r="J9"/>
  <c r="I11"/>
  <c r="I9"/>
  <c r="Q11" l="1"/>
  <c r="Q9"/>
  <c r="P11" l="1"/>
  <c r="P9"/>
  <c r="O11" l="1"/>
  <c r="O9"/>
  <c r="N11"/>
  <c r="N9"/>
  <c r="H11"/>
  <c r="H9"/>
  <c r="G11"/>
  <c r="G9"/>
  <c r="F11"/>
  <c r="F9"/>
  <c r="D11"/>
  <c r="D9"/>
  <c r="E11"/>
  <c r="E9"/>
  <c r="E50"/>
  <c r="F50"/>
  <c r="G50"/>
  <c r="H50"/>
  <c r="I50"/>
  <c r="J50"/>
  <c r="K50"/>
  <c r="L50"/>
  <c r="M50"/>
  <c r="N50"/>
  <c r="O50"/>
  <c r="P50"/>
  <c r="Q50"/>
  <c r="D50"/>
  <c r="D65"/>
  <c r="D60"/>
  <c r="D34"/>
  <c r="E48"/>
  <c r="F48"/>
  <c r="G48"/>
  <c r="H48"/>
  <c r="I48"/>
  <c r="J48"/>
  <c r="K48"/>
  <c r="L48"/>
  <c r="M48"/>
  <c r="N48"/>
  <c r="O48"/>
  <c r="P48"/>
  <c r="Q48"/>
  <c r="D48"/>
  <c r="G46"/>
  <c r="F46"/>
  <c r="E46"/>
  <c r="H46"/>
  <c r="I46"/>
  <c r="J46"/>
  <c r="K46"/>
  <c r="L46"/>
  <c r="M46"/>
  <c r="N46"/>
  <c r="O46"/>
  <c r="P46"/>
  <c r="Q46"/>
  <c r="D46"/>
  <c r="E44"/>
  <c r="F44"/>
  <c r="G44"/>
  <c r="H44"/>
  <c r="I44"/>
  <c r="J44"/>
  <c r="K44"/>
  <c r="L44"/>
  <c r="M44"/>
  <c r="N44"/>
  <c r="O44"/>
  <c r="P44"/>
  <c r="Q44"/>
  <c r="D44"/>
  <c r="E42"/>
  <c r="F42"/>
  <c r="G42"/>
  <c r="H42"/>
  <c r="I42"/>
  <c r="J42"/>
  <c r="K42"/>
  <c r="L42"/>
  <c r="M42"/>
  <c r="N42"/>
  <c r="O42"/>
  <c r="P42"/>
  <c r="Q42"/>
  <c r="D42"/>
  <c r="E40"/>
  <c r="F40"/>
  <c r="G40"/>
  <c r="H40"/>
  <c r="I40"/>
  <c r="J40"/>
  <c r="K40"/>
  <c r="L40"/>
  <c r="M40"/>
  <c r="O40"/>
  <c r="P40"/>
  <c r="Q40"/>
  <c r="D40"/>
  <c r="E38"/>
  <c r="F38"/>
  <c r="G38"/>
  <c r="H38"/>
  <c r="I38"/>
  <c r="J38"/>
  <c r="K38"/>
  <c r="L38"/>
  <c r="M38"/>
  <c r="N38"/>
  <c r="O38"/>
  <c r="P38"/>
  <c r="Q38"/>
  <c r="D38"/>
  <c r="E36"/>
  <c r="F36"/>
  <c r="G36"/>
  <c r="H36"/>
  <c r="I36"/>
  <c r="J36"/>
  <c r="K36"/>
  <c r="L36"/>
  <c r="M36"/>
  <c r="N36"/>
  <c r="O36"/>
  <c r="P36"/>
  <c r="Q36"/>
  <c r="D36"/>
  <c r="E34"/>
  <c r="F34"/>
  <c r="G34"/>
  <c r="H34"/>
  <c r="I34"/>
  <c r="K34"/>
  <c r="L34"/>
  <c r="M34"/>
  <c r="N34"/>
  <c r="O34"/>
  <c r="P34"/>
  <c r="Q34"/>
  <c r="E30"/>
  <c r="F30"/>
  <c r="G30"/>
  <c r="H30"/>
  <c r="I30"/>
  <c r="J30"/>
  <c r="K30"/>
  <c r="L30"/>
  <c r="M30"/>
  <c r="N30"/>
  <c r="O30"/>
  <c r="P30"/>
  <c r="Q30"/>
  <c r="D30"/>
  <c r="E23"/>
  <c r="F23"/>
  <c r="G23"/>
  <c r="H23"/>
  <c r="I23"/>
  <c r="J23"/>
  <c r="K23"/>
  <c r="L23"/>
  <c r="M23"/>
  <c r="N23"/>
  <c r="O23"/>
  <c r="P23"/>
  <c r="Q23"/>
  <c r="D23"/>
  <c r="E21"/>
  <c r="F21"/>
  <c r="G21"/>
  <c r="H21"/>
  <c r="I21"/>
  <c r="J21"/>
  <c r="K21"/>
  <c r="L21"/>
  <c r="M21"/>
  <c r="N21"/>
  <c r="O21"/>
  <c r="P21"/>
  <c r="Q21"/>
  <c r="D21"/>
  <c r="E19"/>
  <c r="F19"/>
  <c r="G19"/>
  <c r="H19"/>
  <c r="I19"/>
  <c r="J19"/>
  <c r="K19"/>
  <c r="L19"/>
  <c r="M19"/>
  <c r="N19"/>
  <c r="O19"/>
  <c r="P19"/>
  <c r="Q19"/>
  <c r="D19"/>
  <c r="E17"/>
  <c r="F17"/>
  <c r="G17"/>
  <c r="H17"/>
  <c r="I17"/>
  <c r="J17"/>
  <c r="K17"/>
  <c r="M17"/>
  <c r="N17"/>
  <c r="O17"/>
  <c r="P17"/>
  <c r="Q17"/>
  <c r="D17"/>
  <c r="E15"/>
  <c r="F15"/>
  <c r="G15"/>
  <c r="H15"/>
  <c r="I15"/>
  <c r="J15"/>
  <c r="K15"/>
  <c r="L15"/>
  <c r="M15"/>
  <c r="N15"/>
  <c r="O15"/>
  <c r="P15"/>
  <c r="Q15"/>
  <c r="D15"/>
  <c r="E13"/>
  <c r="F13"/>
  <c r="G13"/>
  <c r="H13"/>
  <c r="I13"/>
  <c r="J13"/>
  <c r="K13"/>
  <c r="L13"/>
  <c r="M13"/>
  <c r="N13"/>
  <c r="O13"/>
  <c r="P13"/>
  <c r="Q13"/>
  <c r="D13"/>
  <c r="D27"/>
  <c r="D28"/>
  <c r="D29"/>
  <c r="Q31" l="1"/>
  <c r="M31"/>
  <c r="I31"/>
  <c r="P31"/>
  <c r="L31"/>
  <c r="L59" s="1"/>
  <c r="L61" s="1"/>
  <c r="J31"/>
  <c r="N31"/>
  <c r="G31"/>
  <c r="G59" s="1"/>
  <c r="G61" s="1"/>
  <c r="K31"/>
  <c r="K59" s="1"/>
  <c r="K61" s="1"/>
  <c r="E31"/>
  <c r="F31"/>
  <c r="H31"/>
  <c r="O31"/>
  <c r="H51"/>
  <c r="H64" s="1"/>
  <c r="H66" s="1"/>
  <c r="D51"/>
  <c r="D64" s="1"/>
  <c r="P51"/>
  <c r="P64" s="1"/>
  <c r="P66" s="1"/>
  <c r="L51"/>
  <c r="L64" s="1"/>
  <c r="L66" s="1"/>
  <c r="D31"/>
  <c r="O51"/>
  <c r="O64" s="1"/>
  <c r="O66" s="1"/>
  <c r="K51"/>
  <c r="G51"/>
  <c r="G64" s="1"/>
  <c r="G66" s="1"/>
  <c r="Q51"/>
  <c r="Q64" s="1"/>
  <c r="Q66" s="1"/>
  <c r="M51"/>
  <c r="M64" s="1"/>
  <c r="M66" s="1"/>
  <c r="I51"/>
  <c r="I64" s="1"/>
  <c r="I66" s="1"/>
  <c r="E51"/>
  <c r="E64" s="1"/>
  <c r="E66" s="1"/>
  <c r="N51"/>
  <c r="N64" s="1"/>
  <c r="J51"/>
  <c r="J64" s="1"/>
  <c r="F51"/>
  <c r="F64" s="1"/>
  <c r="C27"/>
  <c r="K52" l="1"/>
  <c r="L52"/>
  <c r="G52"/>
  <c r="K64"/>
  <c r="K66" s="1"/>
  <c r="K70" s="1"/>
  <c r="L69"/>
  <c r="L70"/>
  <c r="M59"/>
  <c r="M61" s="1"/>
  <c r="M70" s="1"/>
  <c r="M52"/>
  <c r="I59"/>
  <c r="I61" s="1"/>
  <c r="I70" s="1"/>
  <c r="I52"/>
  <c r="Q59"/>
  <c r="Q61" s="1"/>
  <c r="Q70" s="1"/>
  <c r="Q52"/>
  <c r="P59"/>
  <c r="P52"/>
  <c r="O59"/>
  <c r="O61" s="1"/>
  <c r="O70" s="1"/>
  <c r="O52"/>
  <c r="N59"/>
  <c r="N61" s="1"/>
  <c r="N52"/>
  <c r="J59"/>
  <c r="J61" s="1"/>
  <c r="J52"/>
  <c r="H59"/>
  <c r="H52"/>
  <c r="F59"/>
  <c r="F61" s="1"/>
  <c r="F52"/>
  <c r="E59"/>
  <c r="E61" s="1"/>
  <c r="E70" s="1"/>
  <c r="E52"/>
  <c r="D59"/>
  <c r="D61" s="1"/>
  <c r="D52"/>
  <c r="G70"/>
  <c r="F66"/>
  <c r="J66"/>
  <c r="D66"/>
  <c r="N66"/>
  <c r="G69"/>
  <c r="M69"/>
  <c r="C29"/>
  <c r="C28"/>
  <c r="I69" l="1"/>
  <c r="K69"/>
  <c r="Q69"/>
  <c r="P61"/>
  <c r="P70" s="1"/>
  <c r="P69"/>
  <c r="O69"/>
  <c r="N70"/>
  <c r="N69"/>
  <c r="J70"/>
  <c r="J69"/>
  <c r="H69"/>
  <c r="H61"/>
  <c r="H70" s="1"/>
  <c r="F70"/>
  <c r="F69"/>
  <c r="E69"/>
  <c r="D70"/>
  <c r="D69"/>
</calcChain>
</file>

<file path=xl/sharedStrings.xml><?xml version="1.0" encoding="utf-8"?>
<sst xmlns="http://schemas.openxmlformats.org/spreadsheetml/2006/main" count="110" uniqueCount="83">
  <si>
    <t xml:space="preserve">Устройство дорожного покрытия </t>
  </si>
  <si>
    <t xml:space="preserve">Работы </t>
  </si>
  <si>
    <t xml:space="preserve">Объем </t>
  </si>
  <si>
    <t xml:space="preserve">Установка  малых архитектурных форм </t>
  </si>
  <si>
    <t xml:space="preserve">Монтаж освещения на фасаде дома </t>
  </si>
  <si>
    <t xml:space="preserve">на 1 м.п. </t>
  </si>
  <si>
    <t xml:space="preserve">Установка бордюрного камня </t>
  </si>
  <si>
    <t xml:space="preserve">за 1 ед. </t>
  </si>
  <si>
    <t xml:space="preserve">Вид работ </t>
  </si>
  <si>
    <t xml:space="preserve">Процентное соотношение стоимости вида работ к общей сметной стоимости </t>
  </si>
  <si>
    <t xml:space="preserve">% от сметной стоимости с бордюрами </t>
  </si>
  <si>
    <t xml:space="preserve">% от сметной стоимости без бордюрами </t>
  </si>
  <si>
    <t xml:space="preserve">Стоимость работ, руб для Красноярска </t>
  </si>
  <si>
    <t xml:space="preserve">Стоимость работ, руб для       Норильска  </t>
  </si>
  <si>
    <t xml:space="preserve">Стоимость работ, руб для       Остальных территорий Таймырского ОА  </t>
  </si>
  <si>
    <t xml:space="preserve">Стоимость работ, руб для                       Туруханского района (Эвенкия) </t>
  </si>
  <si>
    <t xml:space="preserve">Стоимость работ, руб для Туруханска    </t>
  </si>
  <si>
    <t xml:space="preserve">Стоимость работ, руб для  Ачинска </t>
  </si>
  <si>
    <t>Стоимость работ, руб                                  для  Шарыпово</t>
  </si>
  <si>
    <t>Стоимость работ, руб                                         для   Канска</t>
  </si>
  <si>
    <t xml:space="preserve">Стоимость работ, руб                                            для Минусинска </t>
  </si>
  <si>
    <t xml:space="preserve">Стоимость работ, руб для Дудинки   </t>
  </si>
  <si>
    <t>Стоимость работ, руб                                  для пгт. Северо-Енисейска</t>
  </si>
  <si>
    <t xml:space="preserve">Стоимость работ, руб                                      для с. Богучаны </t>
  </si>
  <si>
    <t xml:space="preserve">Стоимость работ, руб                                  для г. Кодинск </t>
  </si>
  <si>
    <t>Стоимость работ, руб для г. Лесосибирска</t>
  </si>
  <si>
    <t xml:space="preserve">на 1 м2                 </t>
  </si>
  <si>
    <t>Установка урн</t>
  </si>
  <si>
    <t>Установка скамеек</t>
  </si>
  <si>
    <t xml:space="preserve">Установка светильника на фасад дома </t>
  </si>
  <si>
    <t>Прокладка  кабеля по фасаду дома</t>
  </si>
  <si>
    <t xml:space="preserve">Зоны сметного ценообразования </t>
  </si>
  <si>
    <t xml:space="preserve">Дополнительный перечень </t>
  </si>
  <si>
    <t xml:space="preserve">Установка качели двухместной </t>
  </si>
  <si>
    <t>Установка качели балансир</t>
  </si>
  <si>
    <t xml:space="preserve">Установка карусели </t>
  </si>
  <si>
    <t xml:space="preserve">Установка детского игрового комплекса </t>
  </si>
  <si>
    <t xml:space="preserve">Установка спортивного комплекса </t>
  </si>
  <si>
    <t xml:space="preserve">Установка восьмигранной беседки </t>
  </si>
  <si>
    <t>Перевозка на 30 км</t>
  </si>
  <si>
    <t>за 1 тонну</t>
  </si>
  <si>
    <t xml:space="preserve">Минимальный перечень </t>
  </si>
  <si>
    <t>№ п/п</t>
  </si>
  <si>
    <t>Установка песочницы с крышкой и навесом</t>
  </si>
  <si>
    <t>Площадь асфальтирования, кв.м</t>
  </si>
  <si>
    <t>Длина бордюрного камня, м.п.</t>
  </si>
  <si>
    <t>Протяженность, м.п.</t>
  </si>
  <si>
    <t>Масса груза, т</t>
  </si>
  <si>
    <t>Площадь, кв.м</t>
  </si>
  <si>
    <t xml:space="preserve">Количетсво, шт </t>
  </si>
  <si>
    <t xml:space="preserve">Площадь помещений МКД  </t>
  </si>
  <si>
    <t xml:space="preserve">Площадь квартиры   </t>
  </si>
  <si>
    <t xml:space="preserve">Итого по минимальному перечню </t>
  </si>
  <si>
    <t xml:space="preserve">Итого по дополнительному  перечню </t>
  </si>
  <si>
    <t xml:space="preserve">Суммы софинансирования граждан  (2%) на весь МКД </t>
  </si>
  <si>
    <t xml:space="preserve">Доля в праве общей долевой собственности квартиры </t>
  </si>
  <si>
    <t xml:space="preserve">Суммы софинансирования граждан  (2%) для  квартиры </t>
  </si>
  <si>
    <t xml:space="preserve">Суммы софинансирования граждан  (20%) на весь МКД </t>
  </si>
  <si>
    <t xml:space="preserve">Суммы софинансирования граждан  (20%) для  квартиры </t>
  </si>
  <si>
    <t xml:space="preserve">Итого сумма софинансирования граждан </t>
  </si>
  <si>
    <t xml:space="preserve">Итого сумма софинансирования граждан для  квартиры </t>
  </si>
  <si>
    <t xml:space="preserve">Таблица 6.2 - Калькулятор расчета суммы финансового участия собственников </t>
  </si>
  <si>
    <t xml:space="preserve">Сумма софинансирования граждан по минимальному перечню </t>
  </si>
  <si>
    <t xml:space="preserve">Сумма софинансирования граждан по дополнительному перечню </t>
  </si>
  <si>
    <t xml:space="preserve">Сумма софинансирования граждан по минимальному и дополнительному перечню </t>
  </si>
  <si>
    <t xml:space="preserve">Итого по минимальному и  дополнительному  перечням </t>
  </si>
  <si>
    <t>Размер дома (ширина х длина)</t>
  </si>
  <si>
    <t xml:space="preserve">Этажность </t>
  </si>
  <si>
    <t xml:space="preserve">Количество квартир </t>
  </si>
  <si>
    <t xml:space="preserve">Количество подъездов </t>
  </si>
  <si>
    <t xml:space="preserve">Площадь помещений МКД </t>
  </si>
  <si>
    <t xml:space="preserve">Площадь придомовой территории </t>
  </si>
  <si>
    <t xml:space="preserve">Площадь входа в подъезд </t>
  </si>
  <si>
    <t>12м х 40м</t>
  </si>
  <si>
    <t xml:space="preserve">642 кв.м </t>
  </si>
  <si>
    <t>200 кв.м                    (5м х 40м)</t>
  </si>
  <si>
    <t>10 кв.м.                     (2,5м х 2м)</t>
  </si>
  <si>
    <t>Демонтаж бордюрного камня</t>
  </si>
  <si>
    <t xml:space="preserve">Разборка покрытий асфальтобетонных </t>
  </si>
  <si>
    <t>Площадь разборки , кв.м</t>
  </si>
  <si>
    <t>Асфальтирование,                    t = 8 см</t>
  </si>
  <si>
    <t>Устройство песчаного основания (с учетом дренажного слоя из щебня)  под детскую/ спортивную площадку</t>
  </si>
  <si>
    <t xml:space="preserve">Калькулятор определения стоимости благоустройства дворовой территории </t>
  </si>
</sst>
</file>

<file path=xl/styles.xml><?xml version="1.0" encoding="utf-8"?>
<styleSheet xmlns="http://schemas.openxmlformats.org/spreadsheetml/2006/main">
  <numFmts count="1">
    <numFmt numFmtId="164" formatCode="0.0000000000"/>
  </numFmts>
  <fonts count="6">
    <font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/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Border="1" applyAlignment="1"/>
    <xf numFmtId="4" fontId="2" fillId="4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5" borderId="1" xfId="0" applyFill="1" applyBorder="1"/>
    <xf numFmtId="0" fontId="0" fillId="6" borderId="1" xfId="0" applyFill="1" applyBorder="1" applyAlignment="1">
      <alignment wrapText="1"/>
    </xf>
    <xf numFmtId="0" fontId="0" fillId="6" borderId="1" xfId="0" applyFill="1" applyBorder="1"/>
    <xf numFmtId="0" fontId="1" fillId="6" borderId="1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9" fontId="0" fillId="6" borderId="1" xfId="0" applyNumberFormat="1" applyFill="1" applyBorder="1"/>
    <xf numFmtId="4" fontId="2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5"/>
  <sheetViews>
    <sheetView showGridLines="0" tabSelected="1" view="pageBreakPreview" topLeftCell="A51" zoomScale="70" zoomScaleNormal="100" zoomScaleSheetLayoutView="70" workbookViewId="0">
      <selection activeCell="D33" sqref="D33:Q50"/>
    </sheetView>
  </sheetViews>
  <sheetFormatPr defaultRowHeight="15"/>
  <cols>
    <col min="1" max="1" width="7" customWidth="1"/>
    <col min="2" max="2" width="28.5703125" customWidth="1"/>
    <col min="3" max="3" width="22.42578125" customWidth="1"/>
    <col min="4" max="4" width="24.28515625" customWidth="1"/>
    <col min="5" max="5" width="20.42578125" customWidth="1"/>
    <col min="6" max="6" width="18.42578125" customWidth="1"/>
    <col min="7" max="7" width="22.7109375" customWidth="1"/>
    <col min="8" max="8" width="23.7109375" customWidth="1"/>
    <col min="9" max="9" width="20.7109375" customWidth="1"/>
    <col min="10" max="10" width="24.7109375" customWidth="1"/>
    <col min="11" max="11" width="20.7109375" hidden="1" customWidth="1"/>
    <col min="12" max="12" width="23.42578125" customWidth="1"/>
    <col min="13" max="13" width="20.7109375" hidden="1" customWidth="1"/>
    <col min="14" max="14" width="22.7109375" customWidth="1"/>
    <col min="15" max="15" width="25.5703125" customWidth="1"/>
    <col min="16" max="16" width="23.28515625" customWidth="1"/>
    <col min="17" max="17" width="23.140625" customWidth="1"/>
  </cols>
  <sheetData>
    <row r="1" spans="1:17" ht="45.75" customHeight="1">
      <c r="A1" s="54" t="s">
        <v>82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61.5" hidden="1" customHeight="1">
      <c r="B2" s="29" t="s">
        <v>66</v>
      </c>
      <c r="C2" s="29" t="s">
        <v>67</v>
      </c>
      <c r="D2" s="29" t="s">
        <v>68</v>
      </c>
      <c r="E2" s="29" t="s">
        <v>69</v>
      </c>
      <c r="F2" s="29" t="s">
        <v>70</v>
      </c>
      <c r="G2" s="29" t="s">
        <v>71</v>
      </c>
      <c r="H2" s="29" t="s">
        <v>72</v>
      </c>
      <c r="I2" s="28"/>
      <c r="J2" s="28"/>
      <c r="K2" s="28"/>
      <c r="L2" s="28"/>
      <c r="M2" s="28"/>
      <c r="N2" s="28"/>
      <c r="O2" s="28"/>
      <c r="P2" s="28"/>
      <c r="Q2" s="28"/>
    </row>
    <row r="3" spans="1:17" ht="12.75" hidden="1" customHeight="1">
      <c r="B3" s="8" t="s">
        <v>73</v>
      </c>
      <c r="C3" s="8">
        <v>2</v>
      </c>
      <c r="D3" s="8">
        <v>16</v>
      </c>
      <c r="E3" s="8">
        <v>2</v>
      </c>
      <c r="F3" s="9" t="s">
        <v>74</v>
      </c>
      <c r="G3" s="8" t="s">
        <v>75</v>
      </c>
      <c r="H3" s="8" t="s">
        <v>76</v>
      </c>
      <c r="I3" s="28"/>
      <c r="J3" s="28"/>
      <c r="K3" s="28"/>
      <c r="L3" s="28"/>
      <c r="M3" s="28"/>
      <c r="N3" s="28"/>
      <c r="O3" s="28"/>
      <c r="P3" s="28"/>
      <c r="Q3" s="28"/>
    </row>
    <row r="4" spans="1:17" ht="33.6" customHeight="1">
      <c r="A4" s="43" t="s">
        <v>42</v>
      </c>
      <c r="B4" s="45" t="s">
        <v>1</v>
      </c>
      <c r="C4" s="45" t="s">
        <v>31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112.5">
      <c r="A5" s="43"/>
      <c r="B5" s="45"/>
      <c r="C5" s="27" t="s">
        <v>2</v>
      </c>
      <c r="D5" s="27" t="s">
        <v>12</v>
      </c>
      <c r="E5" s="27" t="s">
        <v>17</v>
      </c>
      <c r="F5" s="27" t="s">
        <v>19</v>
      </c>
      <c r="G5" s="27" t="s">
        <v>18</v>
      </c>
      <c r="H5" s="27" t="s">
        <v>20</v>
      </c>
      <c r="I5" s="27" t="s">
        <v>13</v>
      </c>
      <c r="J5" s="27" t="s">
        <v>21</v>
      </c>
      <c r="K5" s="27" t="s">
        <v>14</v>
      </c>
      <c r="L5" s="40" t="s">
        <v>16</v>
      </c>
      <c r="M5" s="27" t="s">
        <v>15</v>
      </c>
      <c r="N5" s="27" t="s">
        <v>22</v>
      </c>
      <c r="O5" s="27" t="s">
        <v>25</v>
      </c>
      <c r="P5" s="27" t="s">
        <v>23</v>
      </c>
      <c r="Q5" s="27" t="s">
        <v>24</v>
      </c>
    </row>
    <row r="6" spans="1:17" ht="18.75">
      <c r="A6" s="18">
        <v>1</v>
      </c>
      <c r="B6" s="18">
        <v>2</v>
      </c>
      <c r="C6" s="18">
        <v>3</v>
      </c>
      <c r="D6" s="18">
        <v>4</v>
      </c>
      <c r="E6" s="18">
        <v>5</v>
      </c>
      <c r="F6" s="18">
        <v>6</v>
      </c>
      <c r="G6" s="18">
        <v>7</v>
      </c>
      <c r="H6" s="18">
        <v>8</v>
      </c>
      <c r="I6" s="18">
        <v>9</v>
      </c>
      <c r="J6" s="18">
        <v>10</v>
      </c>
      <c r="K6" s="18">
        <v>11</v>
      </c>
      <c r="L6" s="18">
        <v>12</v>
      </c>
      <c r="M6" s="18">
        <v>13</v>
      </c>
      <c r="N6" s="18">
        <v>14</v>
      </c>
      <c r="O6" s="18">
        <v>15</v>
      </c>
      <c r="P6" s="18">
        <v>16</v>
      </c>
      <c r="Q6" s="18">
        <v>17</v>
      </c>
    </row>
    <row r="7" spans="1:17" s="13" customFormat="1" ht="26.25" customHeight="1">
      <c r="A7" s="44" t="s">
        <v>41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</row>
    <row r="8" spans="1:17" s="13" customFormat="1" ht="38.25" customHeight="1">
      <c r="A8" s="30">
        <v>1</v>
      </c>
      <c r="B8" s="7" t="s">
        <v>77</v>
      </c>
      <c r="C8" s="8" t="s">
        <v>5</v>
      </c>
      <c r="D8" s="10">
        <f>316.15/7.61*8.73</f>
        <v>362.67930354796317</v>
      </c>
      <c r="E8" s="10">
        <f>310.7/7.55*8.67</f>
        <v>356.79059602649011</v>
      </c>
      <c r="F8" s="10">
        <f>319.68/7.46*8.51</f>
        <v>364.67517426273463</v>
      </c>
      <c r="G8" s="10">
        <f>319.54/7.44*8.49</f>
        <v>364.63637096774198</v>
      </c>
      <c r="H8" s="10">
        <f>318.1/7.39*8.41</f>
        <v>362.00554803788907</v>
      </c>
      <c r="I8" s="10">
        <f>332.21/7.69*8.95</f>
        <v>386.64232769830943</v>
      </c>
      <c r="J8" s="10">
        <f>339.12/7.85*9.18</f>
        <v>396.57600000000002</v>
      </c>
      <c r="K8" s="39"/>
      <c r="L8" s="10">
        <f>399.18/8.48*10.03</f>
        <v>472.14332547169806</v>
      </c>
      <c r="M8" s="39"/>
      <c r="N8" s="10">
        <f>397.96/8.75*10.28</f>
        <v>467.54614857142855</v>
      </c>
      <c r="O8" s="10">
        <f>359.38/8.07*9.36</f>
        <v>416.82736059479555</v>
      </c>
      <c r="P8" s="10">
        <f>407.5/9.07*10.71</f>
        <v>481.1824696802646</v>
      </c>
      <c r="Q8" s="10">
        <f>370.3/8.17*9.46</f>
        <v>428.7684210526316</v>
      </c>
    </row>
    <row r="9" spans="1:17" s="13" customFormat="1" ht="26.25" customHeight="1">
      <c r="A9" s="42" t="s">
        <v>45</v>
      </c>
      <c r="B9" s="42"/>
      <c r="C9" s="22">
        <v>0</v>
      </c>
      <c r="D9" s="10">
        <f>$C$9*D8</f>
        <v>0</v>
      </c>
      <c r="E9" s="10">
        <f>E8*$C$9</f>
        <v>0</v>
      </c>
      <c r="F9" s="10">
        <f>$C$9*F8</f>
        <v>0</v>
      </c>
      <c r="G9" s="10">
        <f>$C$9*G8</f>
        <v>0</v>
      </c>
      <c r="H9" s="10">
        <f>$C$9*H8</f>
        <v>0</v>
      </c>
      <c r="I9" s="10">
        <f>$C$9*I8</f>
        <v>0</v>
      </c>
      <c r="J9" s="10">
        <f>$C$9*J8</f>
        <v>0</v>
      </c>
      <c r="K9" s="10">
        <f t="shared" ref="K9:L9" si="0">$C$9*K8</f>
        <v>0</v>
      </c>
      <c r="L9" s="10">
        <f t="shared" si="0"/>
        <v>0</v>
      </c>
      <c r="M9" s="39"/>
      <c r="N9" s="10">
        <f>$C$9*N8</f>
        <v>0</v>
      </c>
      <c r="O9" s="10">
        <f>$C$9*O8</f>
        <v>0</v>
      </c>
      <c r="P9" s="10">
        <f>$C$9*P8</f>
        <v>0</v>
      </c>
      <c r="Q9" s="10">
        <f>$C$9*Q8</f>
        <v>0</v>
      </c>
    </row>
    <row r="10" spans="1:17" s="13" customFormat="1" ht="48.75" customHeight="1">
      <c r="A10" s="8">
        <v>2</v>
      </c>
      <c r="B10" s="8" t="s">
        <v>78</v>
      </c>
      <c r="C10" s="8" t="s">
        <v>26</v>
      </c>
      <c r="D10" s="10">
        <f>100.45/7.61*8.73</f>
        <v>115.23370565045992</v>
      </c>
      <c r="E10" s="10">
        <f>98.66/7.55*8.67</f>
        <v>113.29565562913906</v>
      </c>
      <c r="F10" s="10">
        <f>101.87/7.46*8.51</f>
        <v>116.2082707774799</v>
      </c>
      <c r="G10" s="10">
        <f>101.87/7.44*8.49</f>
        <v>116.24681451612904</v>
      </c>
      <c r="H10" s="10">
        <f>101.45/7.39*8.41</f>
        <v>115.4525710419486</v>
      </c>
      <c r="I10" s="10">
        <f>106.4/7.69*8.95</f>
        <v>123.83355006501949</v>
      </c>
      <c r="J10" s="10">
        <f>108.61/7.85*9.18</f>
        <v>127.01143949044585</v>
      </c>
      <c r="K10" s="39"/>
      <c r="L10" s="10">
        <f>129/8.48*10.03</f>
        <v>152.57900943396226</v>
      </c>
      <c r="M10" s="39"/>
      <c r="N10" s="10">
        <f>128.32/8.75*10.28</f>
        <v>150.75766857142855</v>
      </c>
      <c r="O10" s="10">
        <f>115.54/8.07*9.36</f>
        <v>134.00921933085502</v>
      </c>
      <c r="P10" s="10">
        <f>131.15/9.07*10.71</f>
        <v>154.86400220507167</v>
      </c>
      <c r="Q10" s="10">
        <f>119.41/8.17*9.46</f>
        <v>138.26421052631579</v>
      </c>
    </row>
    <row r="11" spans="1:17" s="13" customFormat="1" ht="35.25" customHeight="1">
      <c r="A11" s="42" t="s">
        <v>79</v>
      </c>
      <c r="B11" s="42"/>
      <c r="C11" s="22">
        <v>0</v>
      </c>
      <c r="D11" s="10">
        <f>$C$11*D10</f>
        <v>0</v>
      </c>
      <c r="E11" s="10">
        <f>$C$11*E10</f>
        <v>0</v>
      </c>
      <c r="F11" s="10">
        <f>$C$11*F10</f>
        <v>0</v>
      </c>
      <c r="G11" s="10">
        <f>G10*$C$11</f>
        <v>0</v>
      </c>
      <c r="H11" s="10">
        <f>$C$11*H10</f>
        <v>0</v>
      </c>
      <c r="I11" s="10">
        <f>$C$11*I10</f>
        <v>0</v>
      </c>
      <c r="J11" s="10">
        <f>$C$11*J10</f>
        <v>0</v>
      </c>
      <c r="K11" s="10">
        <f t="shared" ref="K11:L11" si="1">$C$11*K10</f>
        <v>0</v>
      </c>
      <c r="L11" s="10">
        <f t="shared" si="1"/>
        <v>0</v>
      </c>
      <c r="M11" s="39"/>
      <c r="N11" s="10">
        <f>$C$11*N10</f>
        <v>0</v>
      </c>
      <c r="O11" s="10">
        <f>$C$11*O10</f>
        <v>0</v>
      </c>
      <c r="P11" s="10">
        <f>$C$11*P10</f>
        <v>0</v>
      </c>
      <c r="Q11" s="10">
        <f>$C$11*Q10</f>
        <v>0</v>
      </c>
    </row>
    <row r="12" spans="1:17" ht="40.15" customHeight="1">
      <c r="A12" s="20">
        <v>3</v>
      </c>
      <c r="B12" s="7" t="s">
        <v>80</v>
      </c>
      <c r="C12" s="8" t="s">
        <v>26</v>
      </c>
      <c r="D12" s="11">
        <f>1216.3/7.61*8.73</f>
        <v>1395.3086727989487</v>
      </c>
      <c r="E12" s="11">
        <f>1059.3/7.55*8.67</f>
        <v>1216.4411920529801</v>
      </c>
      <c r="F12" s="11">
        <f>1208.7/7.46*8.51</f>
        <v>1378.8253351206436</v>
      </c>
      <c r="G12" s="11">
        <f>1272.34/7.44*8.49</f>
        <v>1451.9041129032257</v>
      </c>
      <c r="H12" s="10">
        <f>1216.25/7.39*8.41</f>
        <v>1384.1221244925578</v>
      </c>
      <c r="I12" s="10">
        <f>3236.26/7.69*8.95</f>
        <v>3766.5184655396615</v>
      </c>
      <c r="J12" s="11">
        <f>3303.6/7.85*9.18</f>
        <v>3863.3182165605094</v>
      </c>
      <c r="K12" s="11">
        <v>444.58</v>
      </c>
      <c r="L12" s="11">
        <f>3960.14/8.48*10.03</f>
        <v>4683.9863443396225</v>
      </c>
      <c r="M12" s="11">
        <v>1780.95</v>
      </c>
      <c r="N12" s="11">
        <f>2883.52/8.75*10.28</f>
        <v>3387.7240685714287</v>
      </c>
      <c r="O12" s="11">
        <f>1458.12/8.07*9.36</f>
        <v>1691.2023791821557</v>
      </c>
      <c r="P12" s="11">
        <f>1649.69/9.07*10.71</f>
        <v>1947.9801433296584</v>
      </c>
      <c r="Q12" s="11">
        <f>1821.1/8.17*9.46</f>
        <v>2108.6421052631581</v>
      </c>
    </row>
    <row r="13" spans="1:17" ht="40.15" customHeight="1">
      <c r="A13" s="42" t="s">
        <v>44</v>
      </c>
      <c r="B13" s="42"/>
      <c r="C13" s="22">
        <v>0</v>
      </c>
      <c r="D13" s="11">
        <f>D12*$C$13</f>
        <v>0</v>
      </c>
      <c r="E13" s="11">
        <f t="shared" ref="E13:Q13" si="2">E12*$C$13</f>
        <v>0</v>
      </c>
      <c r="F13" s="11">
        <f t="shared" si="2"/>
        <v>0</v>
      </c>
      <c r="G13" s="11">
        <f t="shared" si="2"/>
        <v>0</v>
      </c>
      <c r="H13" s="11">
        <f t="shared" si="2"/>
        <v>0</v>
      </c>
      <c r="I13" s="11">
        <f t="shared" si="2"/>
        <v>0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0</v>
      </c>
      <c r="O13" s="11">
        <f t="shared" si="2"/>
        <v>0</v>
      </c>
      <c r="P13" s="11">
        <f t="shared" si="2"/>
        <v>0</v>
      </c>
      <c r="Q13" s="11">
        <f t="shared" si="2"/>
        <v>0</v>
      </c>
    </row>
    <row r="14" spans="1:17" s="1" customFormat="1" ht="42.75" customHeight="1">
      <c r="A14" s="21">
        <v>4</v>
      </c>
      <c r="B14" s="8" t="s">
        <v>6</v>
      </c>
      <c r="C14" s="8" t="s">
        <v>5</v>
      </c>
      <c r="D14" s="11">
        <f>(613.39+462)/7.61*8.73</f>
        <v>1233.6602759526936</v>
      </c>
      <c r="E14" s="11">
        <f>(583.19+462)/7.55*8.67</f>
        <v>1200.2380529801326</v>
      </c>
      <c r="F14" s="10">
        <f>(614+462)/7.46*8.51</f>
        <v>1227.4477211796248</v>
      </c>
      <c r="G14" s="10">
        <f>(588.89+462)/7.44*8.49</f>
        <v>1199.2010887096772</v>
      </c>
      <c r="H14" s="10">
        <f>(639.73+462)/7.39*8.41</f>
        <v>1253.7955751014886</v>
      </c>
      <c r="I14" s="10">
        <f>(775.7+462)/7.69*8.95</f>
        <v>1440.4960988296486</v>
      </c>
      <c r="J14" s="11">
        <f>(791.84+462)/7.85*9.18</f>
        <v>1466.2740382165607</v>
      </c>
      <c r="K14" s="11">
        <v>1142.8600000000001</v>
      </c>
      <c r="L14" s="10">
        <f>(1132.79+462)/8.48*10.03</f>
        <v>1886.290530660377</v>
      </c>
      <c r="M14" s="10">
        <v>1415.12</v>
      </c>
      <c r="N14" s="10">
        <f>(1048.21+462)/8.75*10.28</f>
        <v>1774.2810057142858</v>
      </c>
      <c r="O14" s="10">
        <f>(683.88+462)/8.07*9.36</f>
        <v>1329.0504089219332</v>
      </c>
      <c r="P14" s="10">
        <f>(915.56+462)/9.07*10.71</f>
        <v>1626.6447188533627</v>
      </c>
      <c r="Q14" s="10">
        <f>(820.6+462)/8.17*9.46</f>
        <v>1485.1157894736843</v>
      </c>
    </row>
    <row r="15" spans="1:17" s="1" customFormat="1" ht="42.75" customHeight="1">
      <c r="A15" s="42" t="s">
        <v>45</v>
      </c>
      <c r="B15" s="42"/>
      <c r="C15" s="22">
        <v>0</v>
      </c>
      <c r="D15" s="11">
        <f>D14*$C$15</f>
        <v>0</v>
      </c>
      <c r="E15" s="11">
        <f t="shared" ref="E15:Q15" si="3">E14*$C$15</f>
        <v>0</v>
      </c>
      <c r="F15" s="11">
        <f t="shared" si="3"/>
        <v>0</v>
      </c>
      <c r="G15" s="11">
        <f t="shared" si="3"/>
        <v>0</v>
      </c>
      <c r="H15" s="11">
        <f t="shared" si="3"/>
        <v>0</v>
      </c>
      <c r="I15" s="11">
        <f t="shared" si="3"/>
        <v>0</v>
      </c>
      <c r="J15" s="11">
        <f t="shared" si="3"/>
        <v>0</v>
      </c>
      <c r="K15" s="11">
        <f t="shared" si="3"/>
        <v>0</v>
      </c>
      <c r="L15" s="11">
        <f t="shared" si="3"/>
        <v>0</v>
      </c>
      <c r="M15" s="11">
        <f t="shared" si="3"/>
        <v>0</v>
      </c>
      <c r="N15" s="11">
        <f t="shared" si="3"/>
        <v>0</v>
      </c>
      <c r="O15" s="11">
        <f t="shared" si="3"/>
        <v>0</v>
      </c>
      <c r="P15" s="11">
        <f t="shared" si="3"/>
        <v>0</v>
      </c>
      <c r="Q15" s="11">
        <f t="shared" si="3"/>
        <v>0</v>
      </c>
    </row>
    <row r="16" spans="1:17" ht="30.75" customHeight="1">
      <c r="A16" s="20">
        <v>3</v>
      </c>
      <c r="B16" s="7" t="s">
        <v>28</v>
      </c>
      <c r="C16" s="12" t="s">
        <v>7</v>
      </c>
      <c r="D16" s="11">
        <f>(2847.18+4980)/7.61*8.73</f>
        <v>8979.1434165571627</v>
      </c>
      <c r="E16" s="11">
        <f>(2802.35+4980)/7.55*8.67</f>
        <v>8936.8178145695365</v>
      </c>
      <c r="F16" s="11">
        <f>(2800.01+4980)/7.46*8.51</f>
        <v>8875.0516219839137</v>
      </c>
      <c r="G16" s="11">
        <f>(2773.84+4980)/7.44*8.49</f>
        <v>8848.1319354838724</v>
      </c>
      <c r="H16" s="10">
        <f>(2794.93+4980)/7.39*8.41</f>
        <v>8848.0597158322071</v>
      </c>
      <c r="I16" s="11">
        <f>(2979.82+4980)/7.69*8.95</f>
        <v>9264.0297789336782</v>
      </c>
      <c r="J16" s="11">
        <f>(3045.77+4980)/7.85*9.18</f>
        <v>9385.5501401273887</v>
      </c>
      <c r="K16" s="11">
        <v>10751.35</v>
      </c>
      <c r="L16" s="11">
        <f>(3584.22+4980)/8.48*10.03</f>
        <v>10129.613985849055</v>
      </c>
      <c r="M16" s="11">
        <v>11057.54</v>
      </c>
      <c r="N16" s="11">
        <f>(3530.1+4980)/8.75*10.28</f>
        <v>9998.151771428571</v>
      </c>
      <c r="O16" s="11">
        <f>(3046.1+4980)/8.07*9.36</f>
        <v>9309.0825278810407</v>
      </c>
      <c r="P16" s="11">
        <f>(3560.59+4980)/9.07*10.71</f>
        <v>10084.864266813673</v>
      </c>
      <c r="Q16" s="11">
        <f>(3182.58+4980)/8.17*9.46</f>
        <v>9451.4084210526325</v>
      </c>
    </row>
    <row r="17" spans="1:17" ht="30.75" customHeight="1">
      <c r="A17" s="47" t="s">
        <v>49</v>
      </c>
      <c r="B17" s="47"/>
      <c r="C17" s="22">
        <v>0</v>
      </c>
      <c r="D17" s="11">
        <f>D16*$C$17</f>
        <v>0</v>
      </c>
      <c r="E17" s="11">
        <f t="shared" ref="E17:Q17" si="4">E16*$C$17</f>
        <v>0</v>
      </c>
      <c r="F17" s="11">
        <f t="shared" si="4"/>
        <v>0</v>
      </c>
      <c r="G17" s="11">
        <f t="shared" si="4"/>
        <v>0</v>
      </c>
      <c r="H17" s="11">
        <f t="shared" si="4"/>
        <v>0</v>
      </c>
      <c r="I17" s="11">
        <f t="shared" si="4"/>
        <v>0</v>
      </c>
      <c r="J17" s="11">
        <f t="shared" si="4"/>
        <v>0</v>
      </c>
      <c r="K17" s="11">
        <f t="shared" si="4"/>
        <v>0</v>
      </c>
      <c r="L17" s="11">
        <f t="shared" si="4"/>
        <v>0</v>
      </c>
      <c r="M17" s="11">
        <f t="shared" si="4"/>
        <v>0</v>
      </c>
      <c r="N17" s="11">
        <f t="shared" si="4"/>
        <v>0</v>
      </c>
      <c r="O17" s="11">
        <f t="shared" si="4"/>
        <v>0</v>
      </c>
      <c r="P17" s="11">
        <f t="shared" si="4"/>
        <v>0</v>
      </c>
      <c r="Q17" s="11">
        <f t="shared" si="4"/>
        <v>0</v>
      </c>
    </row>
    <row r="18" spans="1:17" ht="25.9" customHeight="1">
      <c r="A18" s="20">
        <v>4</v>
      </c>
      <c r="B18" s="7" t="s">
        <v>27</v>
      </c>
      <c r="C18" s="12" t="s">
        <v>7</v>
      </c>
      <c r="D18" s="10">
        <f>(2847.18+3340)/7.61*8.73</f>
        <v>7097.7767936925102</v>
      </c>
      <c r="E18" s="10">
        <f>(2802.35+3340)/7.55*8.67</f>
        <v>7053.5330463576165</v>
      </c>
      <c r="F18" s="10">
        <f>(2800.01+3340)/7.46*8.51</f>
        <v>7004.2205227882041</v>
      </c>
      <c r="G18" s="10">
        <f>(2773.84+3340)/7.44*8.49</f>
        <v>6976.6803225806452</v>
      </c>
      <c r="H18" s="10">
        <f>(2794.93+3340)/7.39*8.41</f>
        <v>6981.6997699594049</v>
      </c>
      <c r="I18" s="11">
        <f>(2979.82+3340)/7.69*8.95</f>
        <v>7355.3171651495441</v>
      </c>
      <c r="J18" s="10">
        <f>(3045.77+3340)/7.85*9.18</f>
        <v>7467.6902675159245</v>
      </c>
      <c r="K18" s="10">
        <v>6501.35</v>
      </c>
      <c r="L18" s="10">
        <f>(3584.32+3340)/8.48*10.03</f>
        <v>8189.9681132075466</v>
      </c>
      <c r="M18" s="10">
        <v>6807.54</v>
      </c>
      <c r="N18" s="10">
        <f>(3530.1+3430)/8.75*10.28</f>
        <v>8177.1232</v>
      </c>
      <c r="O18" s="10">
        <f>(3046.1+3340)/8.07*9.36</f>
        <v>7406.926394052045</v>
      </c>
      <c r="P18" s="10">
        <f>(3560.59+3340)/9.07*10.71</f>
        <v>8148.3262293274538</v>
      </c>
      <c r="Q18" s="10">
        <f>(3182.58+3340)/8.17*9.46</f>
        <v>7552.4610526315792</v>
      </c>
    </row>
    <row r="19" spans="1:17" ht="25.9" customHeight="1">
      <c r="A19" s="47" t="s">
        <v>49</v>
      </c>
      <c r="B19" s="47"/>
      <c r="C19" s="22">
        <v>0</v>
      </c>
      <c r="D19" s="10">
        <f>D18*$C$19</f>
        <v>0</v>
      </c>
      <c r="E19" s="10">
        <f t="shared" ref="E19:Q19" si="5">E18*$C$19</f>
        <v>0</v>
      </c>
      <c r="F19" s="10">
        <f t="shared" si="5"/>
        <v>0</v>
      </c>
      <c r="G19" s="10">
        <f t="shared" si="5"/>
        <v>0</v>
      </c>
      <c r="H19" s="10">
        <f t="shared" si="5"/>
        <v>0</v>
      </c>
      <c r="I19" s="10">
        <f t="shared" si="5"/>
        <v>0</v>
      </c>
      <c r="J19" s="10">
        <f t="shared" si="5"/>
        <v>0</v>
      </c>
      <c r="K19" s="10">
        <f t="shared" si="5"/>
        <v>0</v>
      </c>
      <c r="L19" s="10">
        <f t="shared" si="5"/>
        <v>0</v>
      </c>
      <c r="M19" s="10">
        <f t="shared" si="5"/>
        <v>0</v>
      </c>
      <c r="N19" s="10">
        <f t="shared" si="5"/>
        <v>0</v>
      </c>
      <c r="O19" s="10">
        <f t="shared" si="5"/>
        <v>0</v>
      </c>
      <c r="P19" s="10">
        <f t="shared" si="5"/>
        <v>0</v>
      </c>
      <c r="Q19" s="10">
        <f t="shared" si="5"/>
        <v>0</v>
      </c>
    </row>
    <row r="20" spans="1:17" ht="44.25" customHeight="1">
      <c r="A20" s="20">
        <v>5</v>
      </c>
      <c r="B20" s="7" t="s">
        <v>29</v>
      </c>
      <c r="C20" s="12" t="s">
        <v>7</v>
      </c>
      <c r="D20" s="10">
        <f>5458.48/7.61*8.73</f>
        <v>6261.8305387647824</v>
      </c>
      <c r="E20" s="10">
        <f>5452.49/7.55*8.67</f>
        <v>6261.3361986754962</v>
      </c>
      <c r="F20" s="10">
        <f>5433.05/7.46*8.51</f>
        <v>6197.7554289544232</v>
      </c>
      <c r="G20" s="10">
        <f>5419.21/7.44*8.49</f>
        <v>6184.0178629032262</v>
      </c>
      <c r="H20" s="10">
        <f>5422.69/7.39*8.41</f>
        <v>6171.1533017591337</v>
      </c>
      <c r="I20" s="11">
        <f>5261.06/7.69*8.95</f>
        <v>6123.0802340702203</v>
      </c>
      <c r="J20" s="10">
        <f>5530.49/7.85*9.18</f>
        <v>6467.5029554140128</v>
      </c>
      <c r="K20" s="10">
        <v>5037.74</v>
      </c>
      <c r="L20" s="10">
        <f>5691.82/8.48*10.03</f>
        <v>6732.188042452829</v>
      </c>
      <c r="M20" s="10">
        <v>5124.75</v>
      </c>
      <c r="N20" s="10">
        <f>5680.81/8.75*10.28</f>
        <v>6674.1402057142859</v>
      </c>
      <c r="O20" s="10">
        <f>5546.8/8.07*9.36</f>
        <v>6433.4631970260225</v>
      </c>
      <c r="P20" s="10">
        <f>5729.45/9.07*10.71</f>
        <v>6765.4255237045209</v>
      </c>
      <c r="Q20" s="10">
        <f>5570.74/8.17*9.46</f>
        <v>6450.330526315789</v>
      </c>
    </row>
    <row r="21" spans="1:17" ht="44.25" customHeight="1">
      <c r="A21" s="47" t="s">
        <v>49</v>
      </c>
      <c r="B21" s="47"/>
      <c r="C21" s="22">
        <v>0</v>
      </c>
      <c r="D21" s="10">
        <f>D20*$C$21</f>
        <v>0</v>
      </c>
      <c r="E21" s="10">
        <f t="shared" ref="E21:Q21" si="6">E20*$C$21</f>
        <v>0</v>
      </c>
      <c r="F21" s="10">
        <f t="shared" si="6"/>
        <v>0</v>
      </c>
      <c r="G21" s="10">
        <f t="shared" si="6"/>
        <v>0</v>
      </c>
      <c r="H21" s="10">
        <f t="shared" si="6"/>
        <v>0</v>
      </c>
      <c r="I21" s="10">
        <f t="shared" si="6"/>
        <v>0</v>
      </c>
      <c r="J21" s="10">
        <f t="shared" si="6"/>
        <v>0</v>
      </c>
      <c r="K21" s="10">
        <f t="shared" si="6"/>
        <v>0</v>
      </c>
      <c r="L21" s="10">
        <f t="shared" si="6"/>
        <v>0</v>
      </c>
      <c r="M21" s="10">
        <f t="shared" si="6"/>
        <v>0</v>
      </c>
      <c r="N21" s="10">
        <f t="shared" si="6"/>
        <v>0</v>
      </c>
      <c r="O21" s="10">
        <f t="shared" si="6"/>
        <v>0</v>
      </c>
      <c r="P21" s="10">
        <f t="shared" si="6"/>
        <v>0</v>
      </c>
      <c r="Q21" s="10">
        <f t="shared" si="6"/>
        <v>0</v>
      </c>
    </row>
    <row r="22" spans="1:17" ht="44.25" customHeight="1">
      <c r="A22" s="20">
        <v>6</v>
      </c>
      <c r="B22" s="7" t="s">
        <v>30</v>
      </c>
      <c r="C22" s="12" t="s">
        <v>5</v>
      </c>
      <c r="D22" s="10">
        <f>371.22/7.61*8.73</f>
        <v>425.85421813403417</v>
      </c>
      <c r="E22" s="10">
        <f>368.02/7.55*8.67</f>
        <v>422.61369536423837</v>
      </c>
      <c r="F22" s="10">
        <f>377.69/7.46*8.51</f>
        <v>430.85012064343158</v>
      </c>
      <c r="G22" s="10">
        <f>378.01/7.44*8.49</f>
        <v>431.35818548387095</v>
      </c>
      <c r="H22" s="10">
        <f>384.43/7.39*8.41</f>
        <v>437.49070365358591</v>
      </c>
      <c r="I22" s="11">
        <f>534.48/7.69*8.95</f>
        <v>622.05409622886862</v>
      </c>
      <c r="J22" s="10">
        <f>545.7/7.85*9.18</f>
        <v>638.15617834394914</v>
      </c>
      <c r="K22" s="10">
        <v>530.42000000000007</v>
      </c>
      <c r="L22" s="10">
        <f>649.14/8.48*10.03</f>
        <v>767.79176886792436</v>
      </c>
      <c r="M22" s="10">
        <v>599.45000000000005</v>
      </c>
      <c r="N22" s="10">
        <f>524.38/8.75*10.28</f>
        <v>616.07158857142849</v>
      </c>
      <c r="O22" s="10">
        <f>427.74/8.07*9.36</f>
        <v>496.11479553903342</v>
      </c>
      <c r="P22" s="10">
        <f>483.25/9.07*10.71</f>
        <v>570.6292723263507</v>
      </c>
      <c r="Q22" s="10">
        <f>463.73/8.17*9.46</f>
        <v>536.95052631578949</v>
      </c>
    </row>
    <row r="23" spans="1:17" ht="44.25" customHeight="1">
      <c r="A23" s="47" t="s">
        <v>46</v>
      </c>
      <c r="B23" s="47"/>
      <c r="C23" s="22">
        <v>0</v>
      </c>
      <c r="D23" s="10">
        <f>D22*$C$23</f>
        <v>0</v>
      </c>
      <c r="E23" s="10">
        <f t="shared" ref="E23:Q23" si="7">E22*$C$23</f>
        <v>0</v>
      </c>
      <c r="F23" s="10">
        <f t="shared" si="7"/>
        <v>0</v>
      </c>
      <c r="G23" s="10">
        <f t="shared" si="7"/>
        <v>0</v>
      </c>
      <c r="H23" s="10">
        <f t="shared" si="7"/>
        <v>0</v>
      </c>
      <c r="I23" s="10">
        <f t="shared" si="7"/>
        <v>0</v>
      </c>
      <c r="J23" s="10">
        <f t="shared" si="7"/>
        <v>0</v>
      </c>
      <c r="K23" s="10">
        <f t="shared" si="7"/>
        <v>0</v>
      </c>
      <c r="L23" s="10">
        <f t="shared" si="7"/>
        <v>0</v>
      </c>
      <c r="M23" s="10">
        <f t="shared" si="7"/>
        <v>0</v>
      </c>
      <c r="N23" s="10">
        <f t="shared" si="7"/>
        <v>0</v>
      </c>
      <c r="O23" s="10">
        <f t="shared" si="7"/>
        <v>0</v>
      </c>
      <c r="P23" s="10">
        <f t="shared" si="7"/>
        <v>0</v>
      </c>
      <c r="Q23" s="10">
        <f t="shared" si="7"/>
        <v>0</v>
      </c>
    </row>
    <row r="24" spans="1:17" s="13" customFormat="1" ht="24" customHeight="1">
      <c r="A24" s="41">
        <v>7</v>
      </c>
      <c r="B24" s="12" t="s">
        <v>39</v>
      </c>
      <c r="C24" s="12" t="s">
        <v>40</v>
      </c>
      <c r="D24" s="10">
        <f>222.46/9.61*10.92</f>
        <v>252.78493236212282</v>
      </c>
      <c r="E24" s="11">
        <f>218.75/9.45*10.75</f>
        <v>248.84259259259261</v>
      </c>
      <c r="F24" s="11">
        <f>229.16/9.9*11.18</f>
        <v>258.78876767676763</v>
      </c>
      <c r="G24" s="11">
        <f>228.94/9.89*11.18</f>
        <v>258.80173913043473</v>
      </c>
      <c r="H24" s="11">
        <f>224.77/10.09*11.36</f>
        <v>253.06116947472745</v>
      </c>
      <c r="I24" s="11">
        <f>363.19/15.69*18.08</f>
        <v>418.5133970681963</v>
      </c>
      <c r="J24" s="11">
        <f>370.6/16.01*18.53</f>
        <v>428.93304184884448</v>
      </c>
      <c r="K24" s="11"/>
      <c r="L24" s="11">
        <f>436.8/18.45*21.61</f>
        <v>511.61235772357725</v>
      </c>
      <c r="M24" s="11"/>
      <c r="N24" s="11">
        <f>341.89/14.77*17.17</f>
        <v>397.44423155044012</v>
      </c>
      <c r="O24" s="11">
        <f>251.86/10.88*12.48</f>
        <v>288.89823529411763</v>
      </c>
      <c r="P24" s="11">
        <f>287.72/12.73*14.53</f>
        <v>328.40311076197958</v>
      </c>
      <c r="Q24" s="11">
        <f>287.04/12.4*14.2</f>
        <v>328.70709677419353</v>
      </c>
    </row>
    <row r="25" spans="1:17" ht="33.6" hidden="1" customHeight="1">
      <c r="A25" s="19"/>
      <c r="B25" s="46" t="s">
        <v>9</v>
      </c>
      <c r="C25" s="46"/>
      <c r="D25" s="46"/>
      <c r="E25" s="32"/>
      <c r="F25" s="33"/>
      <c r="G25" s="33"/>
      <c r="H25" s="34"/>
      <c r="I25" s="34"/>
      <c r="J25" s="34"/>
      <c r="K25" s="31"/>
      <c r="L25" s="35"/>
      <c r="M25" s="19"/>
      <c r="N25" s="33"/>
      <c r="O25" s="33"/>
      <c r="P25" s="33"/>
      <c r="Q25" s="33"/>
    </row>
    <row r="26" spans="1:17" ht="45" hidden="1">
      <c r="A26" s="19"/>
      <c r="B26" s="3" t="s">
        <v>8</v>
      </c>
      <c r="C26" s="5" t="s">
        <v>10</v>
      </c>
      <c r="D26" s="5" t="s">
        <v>11</v>
      </c>
      <c r="E26" s="33"/>
      <c r="F26" s="33"/>
      <c r="G26" s="33"/>
      <c r="H26" s="35"/>
      <c r="I26" s="36"/>
      <c r="J26" s="36"/>
      <c r="K26" s="31"/>
      <c r="L26" s="33"/>
      <c r="M26" s="19"/>
      <c r="N26" s="33"/>
      <c r="O26" s="33"/>
      <c r="P26" s="33"/>
      <c r="Q26" s="33"/>
    </row>
    <row r="27" spans="1:17" ht="30" hidden="1">
      <c r="A27" s="19"/>
      <c r="B27" s="2" t="s">
        <v>0</v>
      </c>
      <c r="C27" s="4" t="e">
        <f>#REF!/#REF!</f>
        <v>#REF!</v>
      </c>
      <c r="D27" s="4" t="e">
        <f>#REF!/#REF!</f>
        <v>#REF!</v>
      </c>
      <c r="E27" s="33"/>
      <c r="F27" s="33"/>
      <c r="G27" s="33"/>
      <c r="H27" s="32"/>
      <c r="I27" s="37"/>
      <c r="J27" s="37"/>
      <c r="K27" s="31"/>
      <c r="L27" s="33"/>
      <c r="M27" s="19"/>
      <c r="N27" s="33"/>
      <c r="O27" s="33"/>
      <c r="P27" s="33"/>
      <c r="Q27" s="33"/>
    </row>
    <row r="28" spans="1:17" ht="30" hidden="1">
      <c r="A28" s="19"/>
      <c r="B28" s="2" t="s">
        <v>3</v>
      </c>
      <c r="C28" s="4" t="e">
        <f>#REF!/#REF!</f>
        <v>#REF!</v>
      </c>
      <c r="D28" s="4" t="e">
        <f>#REF!/#REF!</f>
        <v>#REF!</v>
      </c>
      <c r="E28" s="33"/>
      <c r="F28" s="33"/>
      <c r="G28" s="33"/>
      <c r="H28" s="32"/>
      <c r="I28" s="37"/>
      <c r="J28" s="37"/>
      <c r="K28" s="31"/>
      <c r="L28" s="33"/>
      <c r="M28" s="19"/>
      <c r="N28" s="33"/>
      <c r="O28" s="33"/>
      <c r="P28" s="33"/>
      <c r="Q28" s="33"/>
    </row>
    <row r="29" spans="1:17" ht="45" hidden="1" customHeight="1">
      <c r="A29" s="19"/>
      <c r="B29" s="2" t="s">
        <v>4</v>
      </c>
      <c r="C29" s="4" t="e">
        <f>#REF!/#REF!</f>
        <v>#REF!</v>
      </c>
      <c r="D29" s="4" t="e">
        <f>#REF!/#REF!</f>
        <v>#REF!</v>
      </c>
      <c r="E29" s="33"/>
      <c r="F29" s="33"/>
      <c r="G29" s="33"/>
      <c r="H29" s="32"/>
      <c r="I29" s="37"/>
      <c r="J29" s="37"/>
      <c r="K29" s="31"/>
      <c r="L29" s="33"/>
      <c r="M29" s="19"/>
      <c r="N29" s="33"/>
      <c r="O29" s="33"/>
      <c r="P29" s="33"/>
      <c r="Q29" s="33"/>
    </row>
    <row r="30" spans="1:17" ht="45" customHeight="1">
      <c r="A30" s="47" t="s">
        <v>47</v>
      </c>
      <c r="B30" s="47"/>
      <c r="C30" s="22">
        <v>0</v>
      </c>
      <c r="D30" s="11">
        <f>D24*$C$30</f>
        <v>0</v>
      </c>
      <c r="E30" s="11">
        <f t="shared" ref="E30:Q30" si="8">E24*$C$30</f>
        <v>0</v>
      </c>
      <c r="F30" s="11">
        <f t="shared" si="8"/>
        <v>0</v>
      </c>
      <c r="G30" s="11">
        <f t="shared" si="8"/>
        <v>0</v>
      </c>
      <c r="H30" s="11">
        <f t="shared" si="8"/>
        <v>0</v>
      </c>
      <c r="I30" s="11">
        <f t="shared" si="8"/>
        <v>0</v>
      </c>
      <c r="J30" s="11">
        <f t="shared" si="8"/>
        <v>0</v>
      </c>
      <c r="K30" s="11">
        <f t="shared" si="8"/>
        <v>0</v>
      </c>
      <c r="L30" s="11">
        <f t="shared" si="8"/>
        <v>0</v>
      </c>
      <c r="M30" s="11">
        <f t="shared" si="8"/>
        <v>0</v>
      </c>
      <c r="N30" s="11">
        <f t="shared" si="8"/>
        <v>0</v>
      </c>
      <c r="O30" s="11">
        <f t="shared" si="8"/>
        <v>0</v>
      </c>
      <c r="P30" s="11">
        <f t="shared" si="8"/>
        <v>0</v>
      </c>
      <c r="Q30" s="11">
        <f t="shared" si="8"/>
        <v>0</v>
      </c>
    </row>
    <row r="31" spans="1:17" ht="45" customHeight="1">
      <c r="A31" s="47" t="s">
        <v>52</v>
      </c>
      <c r="B31" s="47"/>
      <c r="C31" s="47"/>
      <c r="D31" s="11">
        <f>D9+D11+D13+D15+D17+D19+D21+D23+D30</f>
        <v>0</v>
      </c>
      <c r="E31" s="11">
        <f t="shared" ref="E31:Q31" si="9">E9+E11+E13+E15+E17+E19+E21+E23+E30</f>
        <v>0</v>
      </c>
      <c r="F31" s="11">
        <f t="shared" si="9"/>
        <v>0</v>
      </c>
      <c r="G31" s="11">
        <f t="shared" si="9"/>
        <v>0</v>
      </c>
      <c r="H31" s="11">
        <f t="shared" si="9"/>
        <v>0</v>
      </c>
      <c r="I31" s="11">
        <f t="shared" si="9"/>
        <v>0</v>
      </c>
      <c r="J31" s="11">
        <f t="shared" si="9"/>
        <v>0</v>
      </c>
      <c r="K31" s="11">
        <f t="shared" si="9"/>
        <v>0</v>
      </c>
      <c r="L31" s="11">
        <f t="shared" si="9"/>
        <v>0</v>
      </c>
      <c r="M31" s="11">
        <f t="shared" si="9"/>
        <v>0</v>
      </c>
      <c r="N31" s="11">
        <f t="shared" si="9"/>
        <v>0</v>
      </c>
      <c r="O31" s="11">
        <f t="shared" si="9"/>
        <v>0</v>
      </c>
      <c r="P31" s="11">
        <f t="shared" si="9"/>
        <v>0</v>
      </c>
      <c r="Q31" s="11">
        <f t="shared" si="9"/>
        <v>0</v>
      </c>
    </row>
    <row r="32" spans="1:17" ht="28.5" customHeight="1">
      <c r="A32" s="44" t="s">
        <v>32</v>
      </c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spans="1:17" s="6" customFormat="1" ht="108" customHeight="1">
      <c r="A33" s="20">
        <v>8</v>
      </c>
      <c r="B33" s="7" t="s">
        <v>81</v>
      </c>
      <c r="C33" s="8" t="s">
        <v>26</v>
      </c>
      <c r="D33" s="11">
        <f>624.72/7.61*8.73</f>
        <v>716.66302233902763</v>
      </c>
      <c r="E33" s="11">
        <f>672.98/7.55*8.67</f>
        <v>772.81279470198683</v>
      </c>
      <c r="F33" s="11">
        <f>693.17/7.46*8.51</f>
        <v>790.73414209115276</v>
      </c>
      <c r="G33" s="11">
        <f>746.03/7.44*8.49</f>
        <v>851.31649193548378</v>
      </c>
      <c r="H33" s="11">
        <f>629.9/7.39*8.41</f>
        <v>716.84154262516927</v>
      </c>
      <c r="I33" s="11">
        <f>932.5/7.69*8.95</f>
        <v>1085.2893368010402</v>
      </c>
      <c r="J33" s="11">
        <f>951.89/7.85*9.18</f>
        <v>1113.1656305732483</v>
      </c>
      <c r="K33" s="11"/>
      <c r="L33" s="11">
        <f>3228.41/8.48*10.03</f>
        <v>3818.5085259433959</v>
      </c>
      <c r="M33" s="11"/>
      <c r="N33" s="11">
        <f>1675.91/8.75*10.28</f>
        <v>1968.9548342857142</v>
      </c>
      <c r="O33" s="11">
        <f>847.46/8.07*9.36</f>
        <v>982.9275836431226</v>
      </c>
      <c r="P33" s="11">
        <f>646.3/9.07*10.71</f>
        <v>763.16130099228224</v>
      </c>
      <c r="Q33" s="11">
        <f>777.17/8.17*9.46</f>
        <v>899.881052631579</v>
      </c>
    </row>
    <row r="34" spans="1:17" s="6" customFormat="1" ht="29.25" customHeight="1">
      <c r="A34" s="47" t="s">
        <v>48</v>
      </c>
      <c r="B34" s="47"/>
      <c r="C34" s="22">
        <v>0</v>
      </c>
      <c r="D34" s="11">
        <f>D33*$C$34</f>
        <v>0</v>
      </c>
      <c r="E34" s="11">
        <f t="shared" ref="E34:Q34" si="10">E33*$C$34</f>
        <v>0</v>
      </c>
      <c r="F34" s="11">
        <f t="shared" si="10"/>
        <v>0</v>
      </c>
      <c r="G34" s="11">
        <f t="shared" si="10"/>
        <v>0</v>
      </c>
      <c r="H34" s="11">
        <f t="shared" si="10"/>
        <v>0</v>
      </c>
      <c r="I34" s="11">
        <f t="shared" si="10"/>
        <v>0</v>
      </c>
      <c r="J34" s="11">
        <f t="shared" si="10"/>
        <v>0</v>
      </c>
      <c r="K34" s="11">
        <f t="shared" si="10"/>
        <v>0</v>
      </c>
      <c r="L34" s="11">
        <f t="shared" si="10"/>
        <v>0</v>
      </c>
      <c r="M34" s="11">
        <f t="shared" si="10"/>
        <v>0</v>
      </c>
      <c r="N34" s="11">
        <f t="shared" si="10"/>
        <v>0</v>
      </c>
      <c r="O34" s="11">
        <f t="shared" si="10"/>
        <v>0</v>
      </c>
      <c r="P34" s="11">
        <f t="shared" si="10"/>
        <v>0</v>
      </c>
      <c r="Q34" s="11">
        <f t="shared" si="10"/>
        <v>0</v>
      </c>
    </row>
    <row r="35" spans="1:17" s="6" customFormat="1" ht="45.75" customHeight="1">
      <c r="A35" s="20">
        <v>9</v>
      </c>
      <c r="B35" s="7" t="s">
        <v>33</v>
      </c>
      <c r="C35" s="9" t="s">
        <v>7</v>
      </c>
      <c r="D35" s="11">
        <f>(24630+9260.03)/7.61*8.73</f>
        <v>38877.787371879102</v>
      </c>
      <c r="E35" s="11">
        <f>(24630+9062.99)/7.55*8.67</f>
        <v>38691.155403973513</v>
      </c>
      <c r="F35" s="11">
        <f>(24630+9182.6)/7.46*8.51</f>
        <v>38571.746112600529</v>
      </c>
      <c r="G35" s="11">
        <f>(24630+9064.78)/7.44*8.49</f>
        <v>38450.091693548384</v>
      </c>
      <c r="H35" s="11">
        <f>(24630+9246.31)/7.39*8.41</f>
        <v>38552.06591339648</v>
      </c>
      <c r="I35" s="11">
        <f>(10245.48+24630)/7.69*8.95</f>
        <v>40589.7979193758</v>
      </c>
      <c r="J35" s="11">
        <f>(10470.98+24630)/7.85*9.18</f>
        <v>41048.025019108274</v>
      </c>
      <c r="K35" s="11"/>
      <c r="L35" s="11">
        <f>(12896.3+24630)/8.48*10.03</f>
        <v>44385.470400943392</v>
      </c>
      <c r="M35" s="11"/>
      <c r="N35" s="11">
        <f>(12529.86+24630)/8.75*10.28</f>
        <v>43657.526948571423</v>
      </c>
      <c r="O35" s="11">
        <f>(10228.73+24630)/8.07*9.36</f>
        <v>40430.943345724896</v>
      </c>
      <c r="P35" s="11">
        <f>(24630+11696.38)/9.07*10.71</f>
        <v>42894.766240352816</v>
      </c>
      <c r="Q35" s="11">
        <f>(11006.27+24630)/8.17*9.46</f>
        <v>41263.049473684216</v>
      </c>
    </row>
    <row r="36" spans="1:17" s="6" customFormat="1" ht="45.75" customHeight="1">
      <c r="A36" s="47" t="s">
        <v>49</v>
      </c>
      <c r="B36" s="47"/>
      <c r="C36" s="22">
        <v>0</v>
      </c>
      <c r="D36" s="11">
        <f>D35*$C$36</f>
        <v>0</v>
      </c>
      <c r="E36" s="11">
        <f t="shared" ref="E36:Q36" si="11">E35*$C$36</f>
        <v>0</v>
      </c>
      <c r="F36" s="11">
        <f t="shared" si="11"/>
        <v>0</v>
      </c>
      <c r="G36" s="11">
        <f t="shared" si="11"/>
        <v>0</v>
      </c>
      <c r="H36" s="11">
        <f t="shared" si="11"/>
        <v>0</v>
      </c>
      <c r="I36" s="11">
        <f t="shared" si="11"/>
        <v>0</v>
      </c>
      <c r="J36" s="11">
        <f t="shared" si="11"/>
        <v>0</v>
      </c>
      <c r="K36" s="11">
        <f t="shared" si="11"/>
        <v>0</v>
      </c>
      <c r="L36" s="11">
        <f t="shared" si="11"/>
        <v>0</v>
      </c>
      <c r="M36" s="11">
        <f t="shared" si="11"/>
        <v>0</v>
      </c>
      <c r="N36" s="11">
        <f t="shared" si="11"/>
        <v>0</v>
      </c>
      <c r="O36" s="11">
        <f t="shared" si="11"/>
        <v>0</v>
      </c>
      <c r="P36" s="11">
        <f t="shared" si="11"/>
        <v>0</v>
      </c>
      <c r="Q36" s="11">
        <f t="shared" si="11"/>
        <v>0</v>
      </c>
    </row>
    <row r="37" spans="1:17" s="6" customFormat="1" ht="37.5">
      <c r="A37" s="20">
        <v>10</v>
      </c>
      <c r="B37" s="7" t="s">
        <v>34</v>
      </c>
      <c r="C37" s="9" t="s">
        <v>7</v>
      </c>
      <c r="D37" s="11">
        <f>(11900+9260.03)/7.61*8.73</f>
        <v>24274.252549277262</v>
      </c>
      <c r="E37" s="11">
        <f>(11900+9062.99)/7.55*8.67</f>
        <v>24072.731562913905</v>
      </c>
      <c r="F37" s="11">
        <f>(11900+9182.6)/7.46*8.51</f>
        <v>24049.990080428954</v>
      </c>
      <c r="G37" s="11">
        <f>(11900+9064.78)/7.44*8.49</f>
        <v>23923.519112903225</v>
      </c>
      <c r="H37" s="11">
        <f>(11900+9246.31)/7.39*8.41</f>
        <v>24065.015845737482</v>
      </c>
      <c r="I37" s="11">
        <f>(10245.48+11900)/7.69*8.95</f>
        <v>25773.998179453833</v>
      </c>
      <c r="J37" s="11">
        <f>(11900+10470.98)/7.85*9.18</f>
        <v>26161.22247133758</v>
      </c>
      <c r="K37" s="11"/>
      <c r="L37" s="11">
        <f>(11900+12896.3)/8.48*10.03</f>
        <v>29328.64257075471</v>
      </c>
      <c r="M37" s="11"/>
      <c r="N37" s="11">
        <f>(12529.86+11900)/8.75*10.28</f>
        <v>28701.595519999999</v>
      </c>
      <c r="O37" s="11">
        <f>(10228.73+11900)/8.07*9.36</f>
        <v>25666.036282527879</v>
      </c>
      <c r="P37" s="11">
        <f>(11900+11696.38)/9.07*10.71</f>
        <v>27862.980132304299</v>
      </c>
      <c r="Q37" s="11">
        <f>(11900+11006.27)/8.17*9.46</f>
        <v>26523.049473684212</v>
      </c>
    </row>
    <row r="38" spans="1:17" s="6" customFormat="1" ht="36.75" customHeight="1">
      <c r="A38" s="47" t="s">
        <v>49</v>
      </c>
      <c r="B38" s="47"/>
      <c r="C38" s="22">
        <v>0</v>
      </c>
      <c r="D38" s="11">
        <f>D37*$C$38</f>
        <v>0</v>
      </c>
      <c r="E38" s="11">
        <f t="shared" ref="E38:Q38" si="12">E37*$C$38</f>
        <v>0</v>
      </c>
      <c r="F38" s="11">
        <f t="shared" si="12"/>
        <v>0</v>
      </c>
      <c r="G38" s="11">
        <f t="shared" si="12"/>
        <v>0</v>
      </c>
      <c r="H38" s="11">
        <f t="shared" si="12"/>
        <v>0</v>
      </c>
      <c r="I38" s="11">
        <f t="shared" si="12"/>
        <v>0</v>
      </c>
      <c r="J38" s="11">
        <f t="shared" si="12"/>
        <v>0</v>
      </c>
      <c r="K38" s="11">
        <f t="shared" si="12"/>
        <v>0</v>
      </c>
      <c r="L38" s="11">
        <f t="shared" si="12"/>
        <v>0</v>
      </c>
      <c r="M38" s="11">
        <f t="shared" si="12"/>
        <v>0</v>
      </c>
      <c r="N38" s="11">
        <f t="shared" si="12"/>
        <v>0</v>
      </c>
      <c r="O38" s="11">
        <f t="shared" si="12"/>
        <v>0</v>
      </c>
      <c r="P38" s="11">
        <f t="shared" si="12"/>
        <v>0</v>
      </c>
      <c r="Q38" s="11">
        <f t="shared" si="12"/>
        <v>0</v>
      </c>
    </row>
    <row r="39" spans="1:17" s="6" customFormat="1" ht="28.5" customHeight="1">
      <c r="A39" s="20">
        <v>11</v>
      </c>
      <c r="B39" s="7" t="s">
        <v>35</v>
      </c>
      <c r="C39" s="9" t="s">
        <v>7</v>
      </c>
      <c r="D39" s="11">
        <f>(33740+9260.03)/7.61*8.73</f>
        <v>49328.549526938245</v>
      </c>
      <c r="E39" s="11">
        <f>(33740+9062.99)/7.55*8.67</f>
        <v>49152.572622516556</v>
      </c>
      <c r="F39" s="11">
        <f>(9182.6+33740)/7.46*8.51</f>
        <v>48963.984718498657</v>
      </c>
      <c r="G39" s="11">
        <f>(33740+9064.78)/7.44*8.49</f>
        <v>48845.777177419353</v>
      </c>
      <c r="H39" s="11">
        <f>(33740+9246.31)/7.39*8.41</f>
        <v>48919.467807848443</v>
      </c>
      <c r="I39" s="11">
        <f>(33740+10245.48)/7.69*8.95</f>
        <v>51192.463719115724</v>
      </c>
      <c r="J39" s="11">
        <f>(33740+10470.98)/7.85*9.18</f>
        <v>51701.502726114646</v>
      </c>
      <c r="K39" s="11"/>
      <c r="L39" s="11">
        <f>(33740+12896.3)/8.48*10.03</f>
        <v>55160.623702830191</v>
      </c>
      <c r="M39" s="11"/>
      <c r="N39" s="11">
        <f>(12529.86+33740)/8.75*10.28</f>
        <v>54360.47552</v>
      </c>
      <c r="O39" s="11">
        <f>(10228.73+33740)/8.07*9.36</f>
        <v>50997.188698884747</v>
      </c>
      <c r="P39" s="11">
        <f>(33740+11696.38)/9.07*10.71</f>
        <v>53651.998875413454</v>
      </c>
      <c r="Q39" s="11">
        <f>(11006.27+33740)/8.17*9.46</f>
        <v>51811.470526315796</v>
      </c>
    </row>
    <row r="40" spans="1:17" s="6" customFormat="1" ht="31.5" customHeight="1">
      <c r="A40" s="47" t="s">
        <v>49</v>
      </c>
      <c r="B40" s="47"/>
      <c r="C40" s="22">
        <v>0</v>
      </c>
      <c r="D40" s="11">
        <f>D39*$C$40</f>
        <v>0</v>
      </c>
      <c r="E40" s="11">
        <f t="shared" ref="E40:Q40" si="13">E39*$C$40</f>
        <v>0</v>
      </c>
      <c r="F40" s="11">
        <f t="shared" si="13"/>
        <v>0</v>
      </c>
      <c r="G40" s="11">
        <f t="shared" si="13"/>
        <v>0</v>
      </c>
      <c r="H40" s="11">
        <f t="shared" si="13"/>
        <v>0</v>
      </c>
      <c r="I40" s="11">
        <f t="shared" si="13"/>
        <v>0</v>
      </c>
      <c r="J40" s="11">
        <f t="shared" si="13"/>
        <v>0</v>
      </c>
      <c r="K40" s="11">
        <f t="shared" si="13"/>
        <v>0</v>
      </c>
      <c r="L40" s="11">
        <f t="shared" si="13"/>
        <v>0</v>
      </c>
      <c r="M40" s="11">
        <f t="shared" si="13"/>
        <v>0</v>
      </c>
      <c r="N40" s="11">
        <f t="shared" si="13"/>
        <v>0</v>
      </c>
      <c r="O40" s="11">
        <f t="shared" si="13"/>
        <v>0</v>
      </c>
      <c r="P40" s="11">
        <f t="shared" si="13"/>
        <v>0</v>
      </c>
      <c r="Q40" s="11">
        <f t="shared" si="13"/>
        <v>0</v>
      </c>
    </row>
    <row r="41" spans="1:17" s="6" customFormat="1" ht="37.5">
      <c r="A41" s="20">
        <v>12</v>
      </c>
      <c r="B41" s="7" t="s">
        <v>43</v>
      </c>
      <c r="C41" s="9" t="s">
        <v>7</v>
      </c>
      <c r="D41" s="11">
        <f>(57410+9260.03)/7.61*8.73</f>
        <v>76482.176333771349</v>
      </c>
      <c r="E41" s="11">
        <f>(9062.99+57410)/7.55*8.67</f>
        <v>76333.883880794703</v>
      </c>
      <c r="F41" s="11">
        <f>(57410+9182.6)/7.46*8.51</f>
        <v>75965.553083109931</v>
      </c>
      <c r="G41" s="11">
        <f>(57410+9064.78)/7.44*8.49</f>
        <v>75856.301370967733</v>
      </c>
      <c r="H41" s="11">
        <f>(57410+9246.31)/7.39*8.41</f>
        <v>75856.504343707726</v>
      </c>
      <c r="I41" s="11">
        <f>(57410+10245.48)/7.69*8.95</f>
        <v>78740.773211963577</v>
      </c>
      <c r="J41" s="11">
        <f>(10470.98+57410)/7.85*9.18</f>
        <v>79381.833936305717</v>
      </c>
      <c r="K41" s="11"/>
      <c r="L41" s="11">
        <f>(12896.3+57410)/8.48*10.03</f>
        <v>83157.097759433949</v>
      </c>
      <c r="M41" s="11"/>
      <c r="N41" s="11">
        <f>(57410+12529.86)/8.75*10.28</f>
        <v>82169.344091428575</v>
      </c>
      <c r="O41" s="11">
        <f>(57410+10228.73)/8.07*9.36</f>
        <v>78450.868996282516</v>
      </c>
      <c r="P41" s="11">
        <f>(57410+11696.38)/9.07*10.71</f>
        <v>81601.910672546859</v>
      </c>
      <c r="Q41" s="11">
        <f>(57410+11006.53)/8.17*9.46</f>
        <v>79219.14</v>
      </c>
    </row>
    <row r="42" spans="1:17" s="6" customFormat="1" ht="30.75" customHeight="1">
      <c r="A42" s="47" t="s">
        <v>49</v>
      </c>
      <c r="B42" s="47"/>
      <c r="C42" s="22">
        <v>0</v>
      </c>
      <c r="D42" s="11">
        <f>D41*$C$42</f>
        <v>0</v>
      </c>
      <c r="E42" s="11">
        <f t="shared" ref="E42:Q42" si="14">E41*$C$42</f>
        <v>0</v>
      </c>
      <c r="F42" s="11">
        <f t="shared" si="14"/>
        <v>0</v>
      </c>
      <c r="G42" s="11">
        <f t="shared" si="14"/>
        <v>0</v>
      </c>
      <c r="H42" s="11">
        <f t="shared" si="14"/>
        <v>0</v>
      </c>
      <c r="I42" s="11">
        <f t="shared" si="14"/>
        <v>0</v>
      </c>
      <c r="J42" s="11">
        <f t="shared" si="14"/>
        <v>0</v>
      </c>
      <c r="K42" s="11">
        <f t="shared" si="14"/>
        <v>0</v>
      </c>
      <c r="L42" s="11">
        <f t="shared" si="14"/>
        <v>0</v>
      </c>
      <c r="M42" s="11">
        <f t="shared" si="14"/>
        <v>0</v>
      </c>
      <c r="N42" s="11">
        <f t="shared" si="14"/>
        <v>0</v>
      </c>
      <c r="O42" s="11">
        <f t="shared" si="14"/>
        <v>0</v>
      </c>
      <c r="P42" s="11">
        <f t="shared" si="14"/>
        <v>0</v>
      </c>
      <c r="Q42" s="11">
        <f t="shared" si="14"/>
        <v>0</v>
      </c>
    </row>
    <row r="43" spans="1:17" s="6" customFormat="1" ht="37.5">
      <c r="A43" s="20">
        <v>13</v>
      </c>
      <c r="B43" s="7" t="s">
        <v>36</v>
      </c>
      <c r="C43" s="9" t="s">
        <v>7</v>
      </c>
      <c r="D43" s="11">
        <f>(173730+15639.28)/7.61*8.73</f>
        <v>217239.66023653088</v>
      </c>
      <c r="E43" s="11">
        <f>(15522.95+173730)/7.55*8.67</f>
        <v>217327.5598013245</v>
      </c>
      <c r="F43" s="11">
        <f>(173730+15410.06)/7.46*8.51</f>
        <v>215761.65021447718</v>
      </c>
      <c r="G43" s="11">
        <f>(173730+15376.61)/7.44*8.49</f>
        <v>215795.04286290321</v>
      </c>
      <c r="H43" s="11">
        <f>(173730+15288.17)/7.39*8.41</f>
        <v>215107.28142083899</v>
      </c>
      <c r="I43" s="11">
        <f>(16335.49+173730)/7.69*8.95</f>
        <v>221207.55988296485</v>
      </c>
      <c r="J43" s="11">
        <f>(173730+16687.72)/7.85*9.18</f>
        <v>222679.57574522292</v>
      </c>
      <c r="K43" s="11"/>
      <c r="L43" s="11">
        <f>(173730+18454.64)/8.48*10.03</f>
        <v>227312.72867924528</v>
      </c>
      <c r="M43" s="11"/>
      <c r="N43" s="11">
        <f>(173730+18482.52)/8.75*10.28</f>
        <v>225822.2520685714</v>
      </c>
      <c r="O43" s="11">
        <f>(173730+16885.99)/8.07*9.36</f>
        <v>221086.20401486984</v>
      </c>
      <c r="P43" s="11">
        <f>(173730+19043.41)/9.07*10.71</f>
        <v>227629.90309812571</v>
      </c>
      <c r="Q43" s="11">
        <f>(17220.53+173730)/8.17*9.46</f>
        <v>221100.61368421055</v>
      </c>
    </row>
    <row r="44" spans="1:17" s="6" customFormat="1" ht="28.5" customHeight="1">
      <c r="A44" s="47" t="s">
        <v>49</v>
      </c>
      <c r="B44" s="47"/>
      <c r="C44" s="22">
        <v>0</v>
      </c>
      <c r="D44" s="11">
        <f>D43*$C$44</f>
        <v>0</v>
      </c>
      <c r="E44" s="11">
        <f t="shared" ref="E44:Q44" si="15">E43*$C$44</f>
        <v>0</v>
      </c>
      <c r="F44" s="11">
        <f t="shared" si="15"/>
        <v>0</v>
      </c>
      <c r="G44" s="11">
        <f t="shared" si="15"/>
        <v>0</v>
      </c>
      <c r="H44" s="11">
        <f t="shared" si="15"/>
        <v>0</v>
      </c>
      <c r="I44" s="11">
        <f t="shared" si="15"/>
        <v>0</v>
      </c>
      <c r="J44" s="11">
        <f t="shared" si="15"/>
        <v>0</v>
      </c>
      <c r="K44" s="11">
        <f t="shared" si="15"/>
        <v>0</v>
      </c>
      <c r="L44" s="11">
        <f t="shared" si="15"/>
        <v>0</v>
      </c>
      <c r="M44" s="11">
        <f t="shared" si="15"/>
        <v>0</v>
      </c>
      <c r="N44" s="11">
        <f t="shared" si="15"/>
        <v>0</v>
      </c>
      <c r="O44" s="11">
        <f t="shared" si="15"/>
        <v>0</v>
      </c>
      <c r="P44" s="11">
        <f t="shared" si="15"/>
        <v>0</v>
      </c>
      <c r="Q44" s="11">
        <f t="shared" si="15"/>
        <v>0</v>
      </c>
    </row>
    <row r="45" spans="1:17" ht="56.25">
      <c r="A45" s="20">
        <v>14</v>
      </c>
      <c r="B45" s="7" t="s">
        <v>37</v>
      </c>
      <c r="C45" s="9" t="s">
        <v>7</v>
      </c>
      <c r="D45" s="11">
        <f>(104110+21725.12)/7.61*8.73</f>
        <v>144354.87484888302</v>
      </c>
      <c r="E45" s="11">
        <f>(21560.71+104110)/7.55*8.67</f>
        <v>144313.25241059603</v>
      </c>
      <c r="F45" s="11">
        <f>(104110+21375.95)/7.46*8.51</f>
        <v>143148.18156836461</v>
      </c>
      <c r="G45" s="11">
        <f>(104110+21326.5)/7.44*8.49</f>
        <v>143139.2318548387</v>
      </c>
      <c r="H45" s="11">
        <f>(104110+21198.07)/7.39*8.41</f>
        <v>142603.63581867391</v>
      </c>
      <c r="I45" s="11">
        <f>(104110+22485.31)/7.69*8.95</f>
        <v>147337.8445383615</v>
      </c>
      <c r="J45" s="11">
        <f>(104110+22965.49)/7.85*9.18</f>
        <v>148605.477477707</v>
      </c>
      <c r="K45" s="38"/>
      <c r="L45" s="11">
        <f>(104110+25404.17)/8.48*10.03</f>
        <v>153187.16097877358</v>
      </c>
      <c r="M45" s="38"/>
      <c r="N45" s="11">
        <f>(104110+25479.94)/8.75*10.28</f>
        <v>152249.66665142856</v>
      </c>
      <c r="O45" s="11">
        <f>(23339.6+104110)/8.07*9.36</f>
        <v>147822.58438661709</v>
      </c>
      <c r="P45" s="11">
        <f>(26296.84+104110)/9.07*10.71</f>
        <v>153986.46707828005</v>
      </c>
      <c r="Q45" s="11">
        <f>(23754.2+104110)/8.17*9.46</f>
        <v>148053.28421052633</v>
      </c>
    </row>
    <row r="46" spans="1:17" ht="34.5" customHeight="1">
      <c r="A46" s="47" t="s">
        <v>49</v>
      </c>
      <c r="B46" s="47"/>
      <c r="C46" s="22">
        <v>0</v>
      </c>
      <c r="D46" s="11">
        <f t="shared" ref="D46:Q46" si="16">D45*$C$46</f>
        <v>0</v>
      </c>
      <c r="E46" s="11">
        <f t="shared" si="16"/>
        <v>0</v>
      </c>
      <c r="F46" s="11">
        <f t="shared" si="16"/>
        <v>0</v>
      </c>
      <c r="G46" s="11">
        <f t="shared" si="16"/>
        <v>0</v>
      </c>
      <c r="H46" s="11">
        <f t="shared" si="16"/>
        <v>0</v>
      </c>
      <c r="I46" s="11">
        <f t="shared" si="16"/>
        <v>0</v>
      </c>
      <c r="J46" s="11">
        <f t="shared" si="16"/>
        <v>0</v>
      </c>
      <c r="K46" s="11">
        <f t="shared" si="16"/>
        <v>0</v>
      </c>
      <c r="L46" s="11">
        <f t="shared" si="16"/>
        <v>0</v>
      </c>
      <c r="M46" s="11">
        <f t="shared" si="16"/>
        <v>0</v>
      </c>
      <c r="N46" s="11">
        <f t="shared" si="16"/>
        <v>0</v>
      </c>
      <c r="O46" s="11">
        <f t="shared" si="16"/>
        <v>0</v>
      </c>
      <c r="P46" s="11">
        <f t="shared" si="16"/>
        <v>0</v>
      </c>
      <c r="Q46" s="11">
        <f t="shared" si="16"/>
        <v>0</v>
      </c>
    </row>
    <row r="47" spans="1:17" ht="40.5" customHeight="1">
      <c r="A47" s="20">
        <v>15</v>
      </c>
      <c r="B47" s="17" t="s">
        <v>38</v>
      </c>
      <c r="C47" s="9" t="s">
        <v>7</v>
      </c>
      <c r="D47" s="11">
        <f>(96390+21725.12)/7.61*8.73</f>
        <v>135498.6856241787</v>
      </c>
      <c r="E47" s="11">
        <f>(21560.71+96390)/7.55*8.67</f>
        <v>135448.03386754965</v>
      </c>
      <c r="F47" s="11">
        <f>117532.35/7.46*8.51</f>
        <v>134075.10703753351</v>
      </c>
      <c r="G47" s="11">
        <f>(96390+21326.5)/7.44*8.49</f>
        <v>134329.71572580645</v>
      </c>
      <c r="H47" s="11">
        <f>(96390+21198.07)/7.39*8.41</f>
        <v>133818.08778078484</v>
      </c>
      <c r="I47" s="11">
        <f>(96390+22485.31)/7.69*8.95</f>
        <v>138352.92906371909</v>
      </c>
      <c r="J47" s="11">
        <f>(96390+22965.49)/7.85*9.18</f>
        <v>139577.50295541403</v>
      </c>
      <c r="K47" s="38"/>
      <c r="L47" s="11">
        <f>(96390+25404.17)/8.48*10.03</f>
        <v>144056.07607311319</v>
      </c>
      <c r="M47" s="38"/>
      <c r="N47" s="11">
        <f>(96390+25479.94)</f>
        <v>121869.94</v>
      </c>
      <c r="O47" s="11">
        <f>(96390+23339.6)/8.07*9.36</f>
        <v>138868.53234200744</v>
      </c>
      <c r="P47" s="11">
        <f>(96390+26296.84)/9.07*10.71</f>
        <v>144870.56851157662</v>
      </c>
      <c r="Q47" s="11">
        <f>(23754.2+96390)/8.17*9.46</f>
        <v>139114.33684210526</v>
      </c>
    </row>
    <row r="48" spans="1:17" ht="33" customHeight="1">
      <c r="A48" s="47" t="s">
        <v>49</v>
      </c>
      <c r="B48" s="47"/>
      <c r="C48" s="22">
        <v>0</v>
      </c>
      <c r="D48" s="11">
        <f>D47*$C$48</f>
        <v>0</v>
      </c>
      <c r="E48" s="11">
        <f t="shared" ref="E48:Q48" si="17">E47*$C$48</f>
        <v>0</v>
      </c>
      <c r="F48" s="11">
        <f t="shared" si="17"/>
        <v>0</v>
      </c>
      <c r="G48" s="11">
        <f t="shared" si="17"/>
        <v>0</v>
      </c>
      <c r="H48" s="11">
        <f t="shared" si="17"/>
        <v>0</v>
      </c>
      <c r="I48" s="11">
        <f t="shared" si="17"/>
        <v>0</v>
      </c>
      <c r="J48" s="11">
        <f t="shared" si="17"/>
        <v>0</v>
      </c>
      <c r="K48" s="11">
        <f t="shared" si="17"/>
        <v>0</v>
      </c>
      <c r="L48" s="11">
        <f t="shared" si="17"/>
        <v>0</v>
      </c>
      <c r="M48" s="11">
        <f t="shared" si="17"/>
        <v>0</v>
      </c>
      <c r="N48" s="11">
        <f t="shared" si="17"/>
        <v>0</v>
      </c>
      <c r="O48" s="11">
        <f t="shared" si="17"/>
        <v>0</v>
      </c>
      <c r="P48" s="11">
        <f t="shared" si="17"/>
        <v>0</v>
      </c>
      <c r="Q48" s="11">
        <f t="shared" si="17"/>
        <v>0</v>
      </c>
    </row>
    <row r="49" spans="1:17" s="13" customFormat="1" ht="33" customHeight="1">
      <c r="A49" s="41">
        <v>16</v>
      </c>
      <c r="B49" s="12" t="s">
        <v>39</v>
      </c>
      <c r="C49" s="12" t="s">
        <v>40</v>
      </c>
      <c r="D49" s="10">
        <f>222.46/9.61*10.92</f>
        <v>252.78493236212282</v>
      </c>
      <c r="E49" s="11">
        <f>218.75/9.45*10.75</f>
        <v>248.84259259259261</v>
      </c>
      <c r="F49" s="11">
        <f>229.16/9.9*11.18</f>
        <v>258.78876767676763</v>
      </c>
      <c r="G49" s="11">
        <f>228.99/9.89*11.18</f>
        <v>258.85826086956519</v>
      </c>
      <c r="H49" s="11">
        <f>224.77/10.09*11.36</f>
        <v>253.06116947472745</v>
      </c>
      <c r="I49" s="11">
        <f>363.19/15.69*18.08</f>
        <v>418.5133970681963</v>
      </c>
      <c r="J49" s="11">
        <f>370.6/16.01*18.53</f>
        <v>428.93304184884448</v>
      </c>
      <c r="K49" s="11"/>
      <c r="L49" s="11">
        <f>436.8/18.45*21.61</f>
        <v>511.61235772357725</v>
      </c>
      <c r="M49" s="11"/>
      <c r="N49" s="11">
        <f>341.89/14.77*17.17</f>
        <v>397.44423155044012</v>
      </c>
      <c r="O49" s="11">
        <f>251.86/10.88*12.48</f>
        <v>288.89823529411763</v>
      </c>
      <c r="P49" s="11">
        <f>287.22/12.73*14.53</f>
        <v>327.8324116260801</v>
      </c>
      <c r="Q49" s="11">
        <f>287.04/12.4*14.2</f>
        <v>328.70709677419353</v>
      </c>
    </row>
    <row r="50" spans="1:17" ht="33" customHeight="1">
      <c r="A50" s="48" t="s">
        <v>47</v>
      </c>
      <c r="B50" s="49"/>
      <c r="C50" s="22">
        <v>0</v>
      </c>
      <c r="D50" s="11">
        <f>D49*$C$50</f>
        <v>0</v>
      </c>
      <c r="E50" s="11">
        <f t="shared" ref="E50:Q50" si="18">E49*$C$50</f>
        <v>0</v>
      </c>
      <c r="F50" s="11">
        <f t="shared" si="18"/>
        <v>0</v>
      </c>
      <c r="G50" s="11">
        <f t="shared" si="18"/>
        <v>0</v>
      </c>
      <c r="H50" s="11">
        <f t="shared" si="18"/>
        <v>0</v>
      </c>
      <c r="I50" s="11">
        <f t="shared" si="18"/>
        <v>0</v>
      </c>
      <c r="J50" s="11">
        <f t="shared" si="18"/>
        <v>0</v>
      </c>
      <c r="K50" s="11">
        <f t="shared" si="18"/>
        <v>0</v>
      </c>
      <c r="L50" s="11">
        <f t="shared" si="18"/>
        <v>0</v>
      </c>
      <c r="M50" s="11">
        <f t="shared" si="18"/>
        <v>0</v>
      </c>
      <c r="N50" s="11">
        <f t="shared" si="18"/>
        <v>0</v>
      </c>
      <c r="O50" s="11">
        <f t="shared" si="18"/>
        <v>0</v>
      </c>
      <c r="P50" s="11">
        <f t="shared" si="18"/>
        <v>0</v>
      </c>
      <c r="Q50" s="11">
        <f t="shared" si="18"/>
        <v>0</v>
      </c>
    </row>
    <row r="51" spans="1:17" ht="33" customHeight="1">
      <c r="A51" s="48" t="s">
        <v>53</v>
      </c>
      <c r="B51" s="62"/>
      <c r="C51" s="49"/>
      <c r="D51" s="11">
        <f>D34+D36+D38+D40+D42+D44+D46+D48+D50</f>
        <v>0</v>
      </c>
      <c r="E51" s="11">
        <f t="shared" ref="E51:Q51" si="19">E34+E36+E38+E40+E42+E44+E46+E48+E50</f>
        <v>0</v>
      </c>
      <c r="F51" s="11">
        <f t="shared" si="19"/>
        <v>0</v>
      </c>
      <c r="G51" s="11">
        <f t="shared" si="19"/>
        <v>0</v>
      </c>
      <c r="H51" s="11">
        <f>H34+H36+H38+H40+H42+H44+H46+H48+H50</f>
        <v>0</v>
      </c>
      <c r="I51" s="11">
        <f t="shared" si="19"/>
        <v>0</v>
      </c>
      <c r="J51" s="11">
        <f t="shared" si="19"/>
        <v>0</v>
      </c>
      <c r="K51" s="11">
        <f t="shared" si="19"/>
        <v>0</v>
      </c>
      <c r="L51" s="11">
        <f t="shared" si="19"/>
        <v>0</v>
      </c>
      <c r="M51" s="11">
        <f t="shared" si="19"/>
        <v>0</v>
      </c>
      <c r="N51" s="11">
        <f t="shared" si="19"/>
        <v>0</v>
      </c>
      <c r="O51" s="11">
        <f t="shared" si="19"/>
        <v>0</v>
      </c>
      <c r="P51" s="11">
        <f t="shared" si="19"/>
        <v>0</v>
      </c>
      <c r="Q51" s="11">
        <f t="shared" si="19"/>
        <v>0</v>
      </c>
    </row>
    <row r="52" spans="1:17" ht="67.5" customHeight="1">
      <c r="A52" s="51" t="s">
        <v>65</v>
      </c>
      <c r="B52" s="52"/>
      <c r="C52" s="53"/>
      <c r="D52" s="11">
        <f>D31+D51</f>
        <v>0</v>
      </c>
      <c r="E52" s="11">
        <f t="shared" ref="E52:Q52" si="20">E31+E51</f>
        <v>0</v>
      </c>
      <c r="F52" s="11">
        <f t="shared" si="20"/>
        <v>0</v>
      </c>
      <c r="G52" s="11">
        <f t="shared" si="20"/>
        <v>0</v>
      </c>
      <c r="H52" s="11">
        <f t="shared" si="20"/>
        <v>0</v>
      </c>
      <c r="I52" s="11">
        <f t="shared" si="20"/>
        <v>0</v>
      </c>
      <c r="J52" s="11">
        <f t="shared" si="20"/>
        <v>0</v>
      </c>
      <c r="K52" s="11">
        <f t="shared" si="20"/>
        <v>0</v>
      </c>
      <c r="L52" s="11">
        <f t="shared" si="20"/>
        <v>0</v>
      </c>
      <c r="M52" s="11">
        <f t="shared" si="20"/>
        <v>0</v>
      </c>
      <c r="N52" s="11">
        <f t="shared" si="20"/>
        <v>0</v>
      </c>
      <c r="O52" s="11">
        <f t="shared" si="20"/>
        <v>0</v>
      </c>
      <c r="P52" s="11">
        <f t="shared" si="20"/>
        <v>0</v>
      </c>
      <c r="Q52" s="11">
        <f t="shared" si="20"/>
        <v>0</v>
      </c>
    </row>
    <row r="53" spans="1:17" ht="60.75" customHeight="1">
      <c r="A53" s="50" t="s">
        <v>61</v>
      </c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</row>
    <row r="54" spans="1:17" ht="11.25" customHeight="1">
      <c r="B54" s="16"/>
      <c r="C54" s="14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</row>
    <row r="55" spans="1:17" ht="35.25" customHeight="1">
      <c r="A55" s="48" t="s">
        <v>50</v>
      </c>
      <c r="B55" s="49"/>
      <c r="C55" s="26">
        <v>0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</row>
    <row r="56" spans="1:17" ht="29.25" customHeight="1">
      <c r="A56" s="48" t="s">
        <v>51</v>
      </c>
      <c r="B56" s="49"/>
      <c r="C56" s="22">
        <v>0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</row>
    <row r="57" spans="1:17" ht="18.75">
      <c r="B57" s="16"/>
      <c r="C57" s="14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</row>
    <row r="58" spans="1:17" ht="35.25" customHeight="1">
      <c r="A58" s="48" t="s">
        <v>62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1"/>
    </row>
    <row r="59" spans="1:17" ht="48.75" customHeight="1">
      <c r="A59" s="42" t="s">
        <v>54</v>
      </c>
      <c r="B59" s="42"/>
      <c r="C59" s="42"/>
      <c r="D59" s="9">
        <f>D31/100*2</f>
        <v>0</v>
      </c>
      <c r="E59" s="9">
        <f t="shared" ref="E59:Q59" si="21">E31/100*2</f>
        <v>0</v>
      </c>
      <c r="F59" s="9">
        <f t="shared" si="21"/>
        <v>0</v>
      </c>
      <c r="G59" s="9">
        <f t="shared" si="21"/>
        <v>0</v>
      </c>
      <c r="H59" s="9">
        <f t="shared" si="21"/>
        <v>0</v>
      </c>
      <c r="I59" s="9">
        <f t="shared" si="21"/>
        <v>0</v>
      </c>
      <c r="J59" s="9">
        <f t="shared" si="21"/>
        <v>0</v>
      </c>
      <c r="K59" s="9">
        <f t="shared" si="21"/>
        <v>0</v>
      </c>
      <c r="L59" s="9">
        <f t="shared" si="21"/>
        <v>0</v>
      </c>
      <c r="M59" s="9">
        <f t="shared" si="21"/>
        <v>0</v>
      </c>
      <c r="N59" s="9">
        <f t="shared" si="21"/>
        <v>0</v>
      </c>
      <c r="O59" s="9">
        <f t="shared" si="21"/>
        <v>0</v>
      </c>
      <c r="P59" s="9">
        <f t="shared" si="21"/>
        <v>0</v>
      </c>
      <c r="Q59" s="9">
        <f t="shared" si="21"/>
        <v>0</v>
      </c>
    </row>
    <row r="60" spans="1:17" ht="44.25" customHeight="1">
      <c r="A60" s="42" t="s">
        <v>55</v>
      </c>
      <c r="B60" s="42"/>
      <c r="C60" s="42"/>
      <c r="D60" s="57" t="e">
        <f>C56/C55</f>
        <v>#DIV/0!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9"/>
    </row>
    <row r="61" spans="1:17" ht="44.25" customHeight="1">
      <c r="A61" s="42" t="s">
        <v>56</v>
      </c>
      <c r="B61" s="42"/>
      <c r="C61" s="42"/>
      <c r="D61" s="23" t="e">
        <f>D59*$D$60</f>
        <v>#DIV/0!</v>
      </c>
      <c r="E61" s="23" t="e">
        <f t="shared" ref="E61:Q61" si="22">E59*$D$60</f>
        <v>#DIV/0!</v>
      </c>
      <c r="F61" s="23" t="e">
        <f t="shared" si="22"/>
        <v>#DIV/0!</v>
      </c>
      <c r="G61" s="23" t="e">
        <f t="shared" si="22"/>
        <v>#DIV/0!</v>
      </c>
      <c r="H61" s="23" t="e">
        <f t="shared" si="22"/>
        <v>#DIV/0!</v>
      </c>
      <c r="I61" s="23" t="e">
        <f t="shared" si="22"/>
        <v>#DIV/0!</v>
      </c>
      <c r="J61" s="23" t="e">
        <f t="shared" si="22"/>
        <v>#DIV/0!</v>
      </c>
      <c r="K61" s="23" t="e">
        <f t="shared" si="22"/>
        <v>#DIV/0!</v>
      </c>
      <c r="L61" s="23" t="e">
        <f t="shared" si="22"/>
        <v>#DIV/0!</v>
      </c>
      <c r="M61" s="23" t="e">
        <f t="shared" si="22"/>
        <v>#DIV/0!</v>
      </c>
      <c r="N61" s="23" t="e">
        <f t="shared" si="22"/>
        <v>#DIV/0!</v>
      </c>
      <c r="O61" s="23" t="e">
        <f t="shared" si="22"/>
        <v>#DIV/0!</v>
      </c>
      <c r="P61" s="23" t="e">
        <f t="shared" si="22"/>
        <v>#DIV/0!</v>
      </c>
      <c r="Q61" s="23" t="e">
        <f t="shared" si="22"/>
        <v>#DIV/0!</v>
      </c>
    </row>
    <row r="62" spans="1:17" ht="30.75" customHeight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</row>
    <row r="63" spans="1:17" ht="27.75" customHeight="1">
      <c r="A63" s="48" t="s">
        <v>63</v>
      </c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1"/>
    </row>
    <row r="64" spans="1:17" ht="43.5" customHeight="1">
      <c r="A64" s="42" t="s">
        <v>57</v>
      </c>
      <c r="B64" s="42"/>
      <c r="C64" s="42"/>
      <c r="D64" s="9">
        <f>D51/100*20</f>
        <v>0</v>
      </c>
      <c r="E64" s="9">
        <f t="shared" ref="E64:Q64" si="23">E51/100*20</f>
        <v>0</v>
      </c>
      <c r="F64" s="9">
        <f t="shared" si="23"/>
        <v>0</v>
      </c>
      <c r="G64" s="9">
        <f t="shared" si="23"/>
        <v>0</v>
      </c>
      <c r="H64" s="9">
        <f t="shared" si="23"/>
        <v>0</v>
      </c>
      <c r="I64" s="9">
        <f t="shared" si="23"/>
        <v>0</v>
      </c>
      <c r="J64" s="9">
        <f t="shared" si="23"/>
        <v>0</v>
      </c>
      <c r="K64" s="9">
        <f t="shared" si="23"/>
        <v>0</v>
      </c>
      <c r="L64" s="9">
        <f t="shared" si="23"/>
        <v>0</v>
      </c>
      <c r="M64" s="9">
        <f t="shared" si="23"/>
        <v>0</v>
      </c>
      <c r="N64" s="9">
        <f t="shared" si="23"/>
        <v>0</v>
      </c>
      <c r="O64" s="9">
        <f t="shared" si="23"/>
        <v>0</v>
      </c>
      <c r="P64" s="9">
        <f t="shared" si="23"/>
        <v>0</v>
      </c>
      <c r="Q64" s="9">
        <f t="shared" si="23"/>
        <v>0</v>
      </c>
    </row>
    <row r="65" spans="1:17" ht="41.25" customHeight="1">
      <c r="A65" s="42" t="s">
        <v>55</v>
      </c>
      <c r="B65" s="42"/>
      <c r="C65" s="42"/>
      <c r="D65" s="57" t="e">
        <f>C56/C55</f>
        <v>#DIV/0!</v>
      </c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9"/>
    </row>
    <row r="66" spans="1:17" ht="46.5" customHeight="1">
      <c r="A66" s="42" t="s">
        <v>58</v>
      </c>
      <c r="B66" s="42"/>
      <c r="C66" s="42"/>
      <c r="D66" s="9" t="e">
        <f>$D$65*D64</f>
        <v>#DIV/0!</v>
      </c>
      <c r="E66" s="9" t="e">
        <f t="shared" ref="E66:Q66" si="24">$D$65*E64</f>
        <v>#DIV/0!</v>
      </c>
      <c r="F66" s="9" t="e">
        <f t="shared" si="24"/>
        <v>#DIV/0!</v>
      </c>
      <c r="G66" s="9" t="e">
        <f t="shared" si="24"/>
        <v>#DIV/0!</v>
      </c>
      <c r="H66" s="9" t="e">
        <f t="shared" si="24"/>
        <v>#DIV/0!</v>
      </c>
      <c r="I66" s="9" t="e">
        <f t="shared" si="24"/>
        <v>#DIV/0!</v>
      </c>
      <c r="J66" s="9" t="e">
        <f t="shared" si="24"/>
        <v>#DIV/0!</v>
      </c>
      <c r="K66" s="9" t="e">
        <f t="shared" si="24"/>
        <v>#DIV/0!</v>
      </c>
      <c r="L66" s="9" t="e">
        <f t="shared" si="24"/>
        <v>#DIV/0!</v>
      </c>
      <c r="M66" s="9" t="e">
        <f t="shared" si="24"/>
        <v>#DIV/0!</v>
      </c>
      <c r="N66" s="9" t="e">
        <f t="shared" si="24"/>
        <v>#DIV/0!</v>
      </c>
      <c r="O66" s="9" t="e">
        <f t="shared" si="24"/>
        <v>#DIV/0!</v>
      </c>
      <c r="P66" s="9" t="e">
        <f t="shared" si="24"/>
        <v>#DIV/0!</v>
      </c>
      <c r="Q66" s="9" t="e">
        <f t="shared" si="24"/>
        <v>#DIV/0!</v>
      </c>
    </row>
    <row r="67" spans="1:17" ht="26.25" customHeight="1"/>
    <row r="68" spans="1:17" ht="19.5" customHeight="1">
      <c r="A68" s="56" t="s">
        <v>64</v>
      </c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</row>
    <row r="69" spans="1:17" ht="46.5" customHeight="1">
      <c r="A69" s="42" t="s">
        <v>59</v>
      </c>
      <c r="B69" s="42"/>
      <c r="C69" s="42"/>
      <c r="D69" s="9">
        <f>D64+D59</f>
        <v>0</v>
      </c>
      <c r="E69" s="9">
        <f t="shared" ref="E69:Q69" si="25">E64+E59</f>
        <v>0</v>
      </c>
      <c r="F69" s="9">
        <f t="shared" si="25"/>
        <v>0</v>
      </c>
      <c r="G69" s="9">
        <f t="shared" si="25"/>
        <v>0</v>
      </c>
      <c r="H69" s="9">
        <f t="shared" si="25"/>
        <v>0</v>
      </c>
      <c r="I69" s="9">
        <f t="shared" si="25"/>
        <v>0</v>
      </c>
      <c r="J69" s="9">
        <f t="shared" si="25"/>
        <v>0</v>
      </c>
      <c r="K69" s="9">
        <f t="shared" si="25"/>
        <v>0</v>
      </c>
      <c r="L69" s="9">
        <f t="shared" si="25"/>
        <v>0</v>
      </c>
      <c r="M69" s="9">
        <f t="shared" si="25"/>
        <v>0</v>
      </c>
      <c r="N69" s="9">
        <f t="shared" si="25"/>
        <v>0</v>
      </c>
      <c r="O69" s="9">
        <f t="shared" si="25"/>
        <v>0</v>
      </c>
      <c r="P69" s="9">
        <f t="shared" si="25"/>
        <v>0</v>
      </c>
      <c r="Q69" s="9">
        <f t="shared" si="25"/>
        <v>0</v>
      </c>
    </row>
    <row r="70" spans="1:17" ht="45.75" customHeight="1">
      <c r="A70" s="42" t="s">
        <v>60</v>
      </c>
      <c r="B70" s="42"/>
      <c r="C70" s="42"/>
      <c r="D70" s="23" t="e">
        <f>D66+D61</f>
        <v>#DIV/0!</v>
      </c>
      <c r="E70" s="23" t="e">
        <f t="shared" ref="E70:P70" si="26">E66+E61</f>
        <v>#DIV/0!</v>
      </c>
      <c r="F70" s="23" t="e">
        <f t="shared" si="26"/>
        <v>#DIV/0!</v>
      </c>
      <c r="G70" s="23" t="e">
        <f t="shared" si="26"/>
        <v>#DIV/0!</v>
      </c>
      <c r="H70" s="23" t="e">
        <f t="shared" si="26"/>
        <v>#DIV/0!</v>
      </c>
      <c r="I70" s="23" t="e">
        <f t="shared" si="26"/>
        <v>#DIV/0!</v>
      </c>
      <c r="J70" s="23" t="e">
        <f t="shared" si="26"/>
        <v>#DIV/0!</v>
      </c>
      <c r="K70" s="23" t="e">
        <f t="shared" si="26"/>
        <v>#DIV/0!</v>
      </c>
      <c r="L70" s="23" t="e">
        <f t="shared" si="26"/>
        <v>#DIV/0!</v>
      </c>
      <c r="M70" s="23" t="e">
        <f t="shared" si="26"/>
        <v>#DIV/0!</v>
      </c>
      <c r="N70" s="23" t="e">
        <f t="shared" si="26"/>
        <v>#DIV/0!</v>
      </c>
      <c r="O70" s="23" t="e">
        <f t="shared" si="26"/>
        <v>#DIV/0!</v>
      </c>
      <c r="P70" s="23" t="e">
        <f t="shared" si="26"/>
        <v>#DIV/0!</v>
      </c>
      <c r="Q70" s="23" t="e">
        <f>Q66+Q61</f>
        <v>#DIV/0!</v>
      </c>
    </row>
    <row r="75" spans="1:17" ht="18.75">
      <c r="B75" s="25"/>
    </row>
  </sheetData>
  <mergeCells count="44">
    <mergeCell ref="A1:Q1"/>
    <mergeCell ref="A70:C70"/>
    <mergeCell ref="A68:Q68"/>
    <mergeCell ref="D65:Q65"/>
    <mergeCell ref="A63:Q63"/>
    <mergeCell ref="A69:C69"/>
    <mergeCell ref="A64:C64"/>
    <mergeCell ref="A65:C65"/>
    <mergeCell ref="A66:C66"/>
    <mergeCell ref="A59:C59"/>
    <mergeCell ref="A60:C60"/>
    <mergeCell ref="A61:C61"/>
    <mergeCell ref="D60:Q60"/>
    <mergeCell ref="A58:Q58"/>
    <mergeCell ref="A56:B56"/>
    <mergeCell ref="A51:C51"/>
    <mergeCell ref="A55:B55"/>
    <mergeCell ref="A34:B34"/>
    <mergeCell ref="A36:B36"/>
    <mergeCell ref="A38:B38"/>
    <mergeCell ref="A40:B40"/>
    <mergeCell ref="A50:B50"/>
    <mergeCell ref="A53:Q53"/>
    <mergeCell ref="A52:C52"/>
    <mergeCell ref="A42:B42"/>
    <mergeCell ref="A44:B44"/>
    <mergeCell ref="A46:B46"/>
    <mergeCell ref="A48:B48"/>
    <mergeCell ref="A11:B11"/>
    <mergeCell ref="A4:A5"/>
    <mergeCell ref="A7:Q7"/>
    <mergeCell ref="A32:Q32"/>
    <mergeCell ref="B4:B5"/>
    <mergeCell ref="C4:Q4"/>
    <mergeCell ref="B25:D25"/>
    <mergeCell ref="A13:B13"/>
    <mergeCell ref="A15:B15"/>
    <mergeCell ref="A17:B17"/>
    <mergeCell ref="A19:B19"/>
    <mergeCell ref="A21:B21"/>
    <mergeCell ref="A23:B23"/>
    <mergeCell ref="A30:B30"/>
    <mergeCell ref="A31:C31"/>
    <mergeCell ref="A9:B9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42" orientation="landscape" horizontalDpi="180" verticalDpi="180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2020-07-17T10:24:48Z</dcterms:modified>
</cp:coreProperties>
</file>