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'Лист1'!$A$1:$M$100</definedName>
  </definedNames>
  <calcPr fullCalcOnLoad="1"/>
</workbook>
</file>

<file path=xl/sharedStrings.xml><?xml version="1.0" encoding="utf-8"?>
<sst xmlns="http://schemas.openxmlformats.org/spreadsheetml/2006/main" count="529" uniqueCount="267">
  <si>
    <t xml:space="preserve"> </t>
  </si>
  <si>
    <t>Экспертиза огнезащитной обработки деревянных конструкций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</si>
  <si>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</si>
  <si>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</si>
  <si>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</si>
  <si>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</si>
  <si>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</si>
  <si>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</si>
  <si>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</si>
  <si>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</si>
  <si>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</si>
  <si>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</si>
  <si>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</si>
  <si>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</si>
  <si>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</si>
  <si>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</si>
  <si>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</si>
  <si>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</si>
  <si>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</si>
  <si>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</si>
  <si>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</si>
  <si>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</si>
  <si>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</si>
  <si>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</si>
  <si>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</si>
  <si>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</si>
  <si>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</si>
  <si>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</si>
  <si>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</si>
  <si>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</si>
  <si>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</si>
  <si>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</si>
  <si>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</si>
  <si>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</si>
  <si>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313    321     244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</si>
  <si>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</si>
  <si>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</si>
  <si>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 xml:space="preserve">611   612    621    622   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</si>
  <si>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</si>
  <si>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</si>
  <si>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</si>
  <si>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</si>
  <si>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</si>
  <si>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</si>
  <si>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</si>
  <si>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</si>
  <si>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</si>
  <si>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</si>
  <si>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</si>
  <si>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</si>
  <si>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</si>
  <si>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</si>
  <si>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</si>
  <si>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</si>
  <si>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</si>
  <si>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</si>
  <si>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</si>
  <si>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</si>
  <si>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</si>
  <si>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</si>
  <si>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</si>
  <si>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</si>
  <si>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</si>
  <si>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</si>
  <si>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3.1.</t>
  </si>
  <si>
    <t>3.2.</t>
  </si>
  <si>
    <t>4.1.</t>
  </si>
  <si>
    <t>4.2.</t>
  </si>
  <si>
    <t>7.1.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</si>
  <si>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</si>
  <si>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</si>
  <si>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0702    0707    0703</t>
  </si>
  <si>
    <t>0702     0707     0709    0703</t>
  </si>
  <si>
    <t>0702   0703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</si>
  <si>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</si>
  <si>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</si>
  <si>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</si>
  <si>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</si>
  <si>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</si>
  <si>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1.8</t>
  </si>
  <si>
    <t>01.1.0085090</t>
  </si>
  <si>
    <t>Ежегодно 6302 человека получают услуги дополнительного  образования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</si>
  <si>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</si>
  <si>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</si>
  <si>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</si>
  <si>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</si>
  <si>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01.1.0085190  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</si>
  <si>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</si>
  <si>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</si>
  <si>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</si>
  <si>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</si>
  <si>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01.1.0075660   </t>
  </si>
  <si>
    <t xml:space="preserve">      01.1.0010210</t>
  </si>
  <si>
    <t xml:space="preserve">        01.1.0010210</t>
  </si>
  <si>
    <t xml:space="preserve">        01.1.0010310</t>
  </si>
  <si>
    <t xml:space="preserve">           01.10085090</t>
  </si>
  <si>
    <t xml:space="preserve">   01.1.0085180</t>
  </si>
  <si>
    <t xml:space="preserve"> 01.10075630</t>
  </si>
  <si>
    <t xml:space="preserve">    01.1.0075880     </t>
  </si>
  <si>
    <t xml:space="preserve">     01.1.0074090        </t>
  </si>
  <si>
    <t xml:space="preserve">       01.1.0075640    </t>
  </si>
  <si>
    <t xml:space="preserve">  01.1.0085040  </t>
  </si>
  <si>
    <t xml:space="preserve">  01.1.0085050       </t>
  </si>
  <si>
    <t xml:space="preserve">   0707    0703</t>
  </si>
  <si>
    <t>6.4</t>
  </si>
  <si>
    <t xml:space="preserve">  01.1.0074080        </t>
  </si>
  <si>
    <t xml:space="preserve"> 01.1.0085010      </t>
  </si>
  <si>
    <t>01.100S5630</t>
  </si>
  <si>
    <t xml:space="preserve">0701,  0702    </t>
  </si>
  <si>
    <t>0701        0702</t>
  </si>
  <si>
    <t>0702    0701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</si>
  <si>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</si>
  <si>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 xml:space="preserve"> 01.100L0271</t>
  </si>
  <si>
    <t xml:space="preserve">образования "город Шарыпово Красноярского края" </t>
  </si>
  <si>
    <t>Произведено благоустройство территории в 1-м учреждении</t>
  </si>
  <si>
    <t>1260 детей из малообеспеченных семей получают бесплатное школьное питание</t>
  </si>
  <si>
    <t>Текущий ремонт кровли произведен в 4-х учреждениях</t>
  </si>
  <si>
    <t>0702             0703</t>
  </si>
  <si>
    <t xml:space="preserve">к подпрограмме "Развитие дошкольного, общего и дополнительного образования" </t>
  </si>
  <si>
    <t>Родительская плата за содержание ребенка в муниципальных дошкольных образовательных учреждениях, благотворительные пожертвования, спонсорская помощь, платные услуги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</si>
  <si>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</si>
  <si>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Плата родителей за питание детей в школьной столовой, благотворительные пожертвования, спонсорская помощь, платные услуги</t>
  </si>
  <si>
    <t>Благотворительные пожертвования, спонсорская помощь, платные услуги</t>
  </si>
  <si>
    <t>В 2-х  учреждениях произведен текущий ремонт водоснабжения и канализации в помещении   мастерских</t>
  </si>
  <si>
    <t>В 5-х учреждениях произведен текущий ремонт вытяжной вентиляции в помещении мастерских</t>
  </si>
  <si>
    <t>Восстановлено  наружное освещение в 18-ти учреждениях</t>
  </si>
  <si>
    <t>0701, 0702</t>
  </si>
  <si>
    <t>Руководитель управления образованием                                                               Л.Ф. Буйницкая</t>
  </si>
  <si>
    <t xml:space="preserve">  01.10015980</t>
  </si>
  <si>
    <t>Софинансирование к расходам, предусмотренные  на создание (обновление)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</t>
  </si>
  <si>
    <t xml:space="preserve">  01.100S5980</t>
  </si>
  <si>
    <t xml:space="preserve">       01.10010490</t>
  </si>
  <si>
    <t>Региональные выплаты , обеспечивающие уровень заработной платыне ниже МРЗП 19408 руб.</t>
  </si>
  <si>
    <t xml:space="preserve">      01.1.0010490</t>
  </si>
  <si>
    <t>0703    0707 0709</t>
  </si>
  <si>
    <t xml:space="preserve">  01.1.008505П         </t>
  </si>
  <si>
    <t xml:space="preserve">  01.1.008505В        </t>
  </si>
  <si>
    <t>1.7</t>
  </si>
  <si>
    <t>1.9</t>
  </si>
  <si>
    <t>5.4</t>
  </si>
  <si>
    <t>5.5</t>
  </si>
  <si>
    <t>5.6</t>
  </si>
  <si>
    <t>6.3</t>
  </si>
  <si>
    <t>6.6</t>
  </si>
  <si>
    <t xml:space="preserve">  01.1.E151690</t>
  </si>
  <si>
    <t xml:space="preserve">  01.1.E452100</t>
  </si>
  <si>
    <t xml:space="preserve"> Расходы предусмотренные на проведение реконструкции или капитального ремонта зданий мунципальных общеобразовательных организаций Красноярского края, находящихся в аврийном состоянии в рамках подпрограммы "Развитие дошкольного, общего и дополнительного образования"</t>
  </si>
  <si>
    <t xml:space="preserve">0702,    </t>
  </si>
  <si>
    <t xml:space="preserve">           01.10075620</t>
  </si>
  <si>
    <t xml:space="preserve">    01.1.001048П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</si>
  <si>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</si>
  <si>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0702         0703</t>
  </si>
  <si>
    <t>Подготовка 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</si>
  <si>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 xml:space="preserve">   01.10078400      </t>
  </si>
  <si>
    <t xml:space="preserve">      01.1.0053030</t>
  </si>
  <si>
    <t xml:space="preserve">   01.1.001021Р</t>
  </si>
  <si>
    <t xml:space="preserve">      01.1.001021Р</t>
  </si>
  <si>
    <t xml:space="preserve">        01.1.001021Р</t>
  </si>
  <si>
    <t xml:space="preserve">   01.100S4300     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</si>
  <si>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</t>
  </si>
  <si>
    <t>Софинансирование расходов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"Развитие дошкольного, общего и дополнительного образования"</t>
  </si>
  <si>
    <t>1.10</t>
  </si>
  <si>
    <t>1.11</t>
  </si>
  <si>
    <t xml:space="preserve">   01.10074300      </t>
  </si>
  <si>
    <t>Произведен текущий ремонт спортивного зала в одном общеобразовательном учреждении</t>
  </si>
  <si>
    <t xml:space="preserve"> 'Расходы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 в рамках подпрограммы "Развитие дошкольного, общего и дополнительного образования"</t>
  </si>
  <si>
    <t>Создание в общеобразовательных организациях, расположенных 
в сельской местности и малых городах, условий для занятий физической культурой и спортом в рамках подпрограммы "Развитие дошкольного, общего и дополнительного образования"</t>
  </si>
  <si>
    <t xml:space="preserve">  01.1.0089090       </t>
  </si>
  <si>
    <t xml:space="preserve">  01.1.0089100       </t>
  </si>
  <si>
    <t xml:space="preserve">  01.1.008910П       </t>
  </si>
  <si>
    <t xml:space="preserve">        01.1.001021У</t>
  </si>
  <si>
    <t xml:space="preserve">    01.1.001048У</t>
  </si>
  <si>
    <t>Расходы предусмотренные на функционирование муниципального опорного центра дополнительного образования детей 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</si>
  <si>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Средства на повышение размеров оплаты труда педагогическим работникам  муниципальных учреждений дополнительного образования реализующих программы дополнительного образования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</si>
  <si>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 xml:space="preserve">  01.1.0089130</t>
  </si>
  <si>
    <t>6.5</t>
  </si>
  <si>
    <t>Профилактические мероприятия по предотвращению распространаения коронавирусной инфекции, вызванной 2019-nCoV</t>
  </si>
  <si>
    <t>2422 ребенка  начального общего образования получают бесплатное горячее питание</t>
  </si>
  <si>
    <t xml:space="preserve">  01.1R373980   </t>
  </si>
  <si>
    <t>Итого за период  2021-2023 годы</t>
  </si>
  <si>
    <t>5.8</t>
  </si>
  <si>
    <t>5.9</t>
  </si>
  <si>
    <t>5.10</t>
  </si>
  <si>
    <t>5.11</t>
  </si>
  <si>
    <t>5.12</t>
  </si>
  <si>
    <t>5.15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</si>
  <si>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детей, 2021 год - 16 детей, 2022 год - 16 детей, 2023 год - 16 детей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</si>
  <si>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- 5449 человек, 2022 год - 5474 человек, 2023 год - 5515 человек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</si>
  <si>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- 5449 человек, 2022 год - 5474 человек, 2023 год - 5515 человек, услуги дошкольного образования получают 2677 человек</t>
  </si>
  <si>
    <t xml:space="preserve">           01.100S9230</t>
  </si>
  <si>
    <t>1.5</t>
  </si>
  <si>
    <t>1.6</t>
  </si>
  <si>
    <t>Задача 2.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</si>
  <si>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2.1</t>
  </si>
  <si>
    <t>2.2.</t>
  </si>
  <si>
    <t>Задача 3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</si>
  <si>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Итого по задаче 2</t>
  </si>
  <si>
    <t>Задача 4: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</si>
  <si>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4.3.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</si>
  <si>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</si>
  <si>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</si>
  <si>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</si>
  <si>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</si>
  <si>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</si>
  <si>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</si>
  <si>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</si>
  <si>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</si>
  <si>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</si>
  <si>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</si>
  <si>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</si>
  <si>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</si>
  <si>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</si>
  <si>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</si>
  <si>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</si>
  <si>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</si>
  <si>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</si>
  <si>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</si>
  <si>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</si>
  <si>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</si>
  <si>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Задача 5: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</si>
  <si>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5.2</t>
  </si>
  <si>
    <t>5.3</t>
  </si>
  <si>
    <t>5,7</t>
  </si>
  <si>
    <t>5.13</t>
  </si>
  <si>
    <t>5.14</t>
  </si>
  <si>
    <t>Задача 6.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</si>
  <si>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6.2.</t>
  </si>
  <si>
    <t>6.7</t>
  </si>
  <si>
    <t>6.8</t>
  </si>
  <si>
    <t>Задача 7 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(МЧС) по Красноярскому краю (Отдел надзорной деятельности по г.Шарыпово, Шарыповскому и Ужурскому районам)</t>
  </si>
  <si>
    <t>Задача 8.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</si>
  <si>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8.2.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</si>
  <si>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 (тыс.рублей)</t>
  </si>
  <si>
    <t>01100L3040</t>
  </si>
  <si>
    <t xml:space="preserve">  01.1R373980   01.100S3980</t>
  </si>
  <si>
    <t>Расходы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</si>
  <si>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Расходы 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</si>
  <si>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 xml:space="preserve">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 в рамках подпрограммыы "Развитие дошкольного, общего и дополнительного образования"</t>
  </si>
  <si>
    <t>Обеспечение образовательных организаций материально-технической базой для внедрения  цифровой образовательной среды в рамках подпрограммы "Развитие дошкольного, общего и дополнительного образования"</t>
  </si>
  <si>
    <t>Субсидии бюджетам муниципальных образований 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</si>
  <si>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</si>
  <si>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</si>
  <si>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</si>
  <si>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</si>
  <si>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</si>
  <si>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</t>
  </si>
  <si>
    <t xml:space="preserve"> Расходы дя реконструкции икапитального ремонтаМБОУ СОШ №1 за счет бюджета городского округа города Шарыпово в рамках подпрограммы "Развитие дошкольного, общего и дополнительного образования"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</si>
  <si>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</si>
  <si>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</si>
  <si>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0701      0702</t>
  </si>
  <si>
    <t>0701                        0702</t>
  </si>
  <si>
    <t>Софинансирование расходов, направленных наразвитие и повышение качества работы  муниципальных учреждений,предоставление новых муниципальных услуг, повышение их качества,  в рамках подпрограммы "Развитие дошкольного, общего и дополнительного образования"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</si>
  <si>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образования"</t>
  </si>
  <si>
    <t xml:space="preserve">Осноащение медицинских кабинетов </t>
  </si>
  <si>
    <t xml:space="preserve">           01.10077450</t>
  </si>
  <si>
    <t>612   612    621    622</t>
  </si>
  <si>
    <t>В 2 образовательных учреждениях произведено оснащение медицинских кабинетов</t>
  </si>
  <si>
    <t>4.24</t>
  </si>
  <si>
    <t>Субсидии 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</si>
  <si>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Расходы по обеспечению безопасных условий в соответствии с треюованиями к антитеррорестической защищенности объектов в рамках подпрограммы "развитие дошкольного, общего и дополнительного образования"</t>
  </si>
  <si>
    <t>1.12</t>
  </si>
  <si>
    <t xml:space="preserve">   01.1.0089460</t>
  </si>
  <si>
    <t>Соданы безопасные условия в соответствии с требованиями к антитеррорестической защищенности для 2677 детей</t>
  </si>
  <si>
    <t>Приложение № 4</t>
  </si>
  <si>
    <t>к постановлению Администрации города Шарыпово</t>
  </si>
  <si>
    <t>,</t>
  </si>
  <si>
    <t>от 08.12.2021 года № 263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</si>
</sst>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  <numFmt numFmtId="184" formatCode="?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wrapText="1"/>
    </xf>
    <xf numFmtId="183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49" fontId="1" fillId="0" borderId="11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14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83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3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vertical="top"/>
    </xf>
    <xf numFmtId="49" fontId="1" fillId="0" borderId="18" xfId="0" applyNumberFormat="1" applyFont="1" applyFill="1" applyBorder="1" applyAlignment="1">
      <alignment vertical="top" wrapText="1"/>
    </xf>
    <xf numFmtId="2" fontId="1" fillId="0" borderId="18" xfId="0" applyNumberFormat="1" applyFont="1" applyFill="1" applyBorder="1" applyAlignment="1">
      <alignment vertical="top"/>
    </xf>
    <xf numFmtId="2" fontId="2" fillId="0" borderId="18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 vertical="top" wrapText="1"/>
    </xf>
    <xf numFmtId="0" fontId="1" fillId="0" borderId="18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183" fontId="1" fillId="0" borderId="18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2" fontId="1" fillId="0" borderId="14" xfId="0" applyNumberFormat="1" applyFont="1" applyFill="1" applyBorder="1" applyAlignment="1">
      <alignment vertical="top" wrapText="1"/>
    </xf>
    <xf numFmtId="2" fontId="2" fillId="0" borderId="18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3" xfId="0" applyNumberFormat="1" applyFont="1" applyFill="1" applyBorder="1" applyAlignment="1">
      <alignment horizontal="left" vertical="center" wrapText="1"/>
    </xf>
    <xf numFmtId="14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view="pageBreakPreview" zoomScale="75" zoomScaleNormal="75" zoomScaleSheetLayoutView="75" zoomScalePageLayoutView="0" workbookViewId="0" topLeftCell="A3">
      <selection activeCell="F6" sqref="F6"/>
    </sheetView>
  </sheetViews>
  <sheetFormatPr defaultColWidth="9.00390625" defaultRowHeight="12.75"/>
  <cols>
    <col min="1" max="1" width="5.375" style="17" customWidth="1"/>
    <col min="2" max="2" width="39.00390625" style="18" customWidth="1"/>
    <col min="3" max="3" width="15.625" style="18" customWidth="1"/>
    <col min="4" max="4" width="7.625" style="18" customWidth="1"/>
    <col min="5" max="5" width="8.75390625" style="18" customWidth="1"/>
    <col min="6" max="6" width="14.625" style="18" customWidth="1"/>
    <col min="7" max="7" width="6.125" style="18" customWidth="1"/>
    <col min="8" max="8" width="12.75390625" style="18" customWidth="1"/>
    <col min="9" max="9" width="13.125" style="18" customWidth="1"/>
    <col min="10" max="10" width="13.25390625" style="18" customWidth="1"/>
    <col min="11" max="11" width="14.125" style="18" customWidth="1"/>
    <col min="12" max="12" width="25.00390625" style="18" customWidth="1"/>
    <col min="13" max="13" width="11.00390625" style="0" bestFit="1" customWidth="1"/>
    <col min="18" max="18" width="0.37109375" style="0" customWidth="1"/>
    <col min="19" max="19" width="9.125" style="0" hidden="1" customWidth="1"/>
    <col min="20" max="20" width="3.875" style="0" customWidth="1"/>
    <col min="21" max="21" width="13.25390625" style="0" customWidth="1"/>
  </cols>
  <sheetData>
    <row r="1" spans="1:12" ht="21.75" customHeight="1" hidden="1">
      <c r="A1" s="101" t="s">
        <v>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21.75" customHeight="1" hidden="1">
      <c r="A2" s="12"/>
      <c r="B2" s="13"/>
      <c r="C2" s="13"/>
      <c r="D2" s="13"/>
      <c r="E2" s="13"/>
      <c r="F2" s="100" t="s">
        <v>44</v>
      </c>
      <c r="G2" s="100"/>
      <c r="H2" s="100"/>
      <c r="I2" s="100"/>
      <c r="J2" s="100"/>
      <c r="K2" s="100"/>
      <c r="L2" s="100"/>
    </row>
    <row r="3" spans="1:12" ht="21.75" customHeight="1">
      <c r="A3" s="101" t="s">
        <v>263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21.75" customHeight="1">
      <c r="A4" s="101" t="s">
        <v>264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21.75" customHeight="1">
      <c r="A5" s="101" t="s">
        <v>266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21.75" customHeight="1">
      <c r="A6" s="12"/>
      <c r="B6" s="95"/>
      <c r="C6" s="95"/>
      <c r="D6" s="95"/>
      <c r="E6" s="95"/>
      <c r="F6" s="95"/>
      <c r="G6" s="95"/>
      <c r="H6" s="95"/>
      <c r="I6" s="95"/>
      <c r="J6" s="95"/>
      <c r="K6" s="103" t="s">
        <v>53</v>
      </c>
      <c r="L6" s="103"/>
    </row>
    <row r="7" spans="1:12" ht="18.75" customHeight="1">
      <c r="A7" s="103" t="s">
        <v>118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13.5" customHeight="1">
      <c r="A8" s="103" t="s">
        <v>54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ht="15.75" customHeight="1">
      <c r="A9" s="103" t="s">
        <v>113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ht="15.7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ht="51.75" customHeight="1">
      <c r="A11" s="118" t="s">
        <v>232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20"/>
      <c r="L11" s="120"/>
    </row>
    <row r="12" spans="1:12" ht="40.5" customHeight="1">
      <c r="A12" s="108" t="s">
        <v>0</v>
      </c>
      <c r="B12" s="107" t="s">
        <v>2</v>
      </c>
      <c r="C12" s="20"/>
      <c r="D12" s="107" t="s">
        <v>4</v>
      </c>
      <c r="E12" s="107"/>
      <c r="F12" s="107"/>
      <c r="G12" s="107"/>
      <c r="H12" s="105"/>
      <c r="I12" s="121"/>
      <c r="J12" s="122"/>
      <c r="K12" s="107" t="s">
        <v>179</v>
      </c>
      <c r="L12" s="107" t="s">
        <v>8</v>
      </c>
    </row>
    <row r="13" spans="1:12" ht="40.5" customHeight="1">
      <c r="A13" s="108"/>
      <c r="B13" s="107"/>
      <c r="C13" s="20" t="s">
        <v>3</v>
      </c>
      <c r="D13" s="20" t="s">
        <v>3</v>
      </c>
      <c r="E13" s="20" t="s">
        <v>5</v>
      </c>
      <c r="F13" s="20" t="s">
        <v>6</v>
      </c>
      <c r="G13" s="20" t="s">
        <v>7</v>
      </c>
      <c r="H13" s="20">
        <v>2021</v>
      </c>
      <c r="I13" s="20">
        <v>2022</v>
      </c>
      <c r="J13" s="20">
        <v>2023</v>
      </c>
      <c r="K13" s="107"/>
      <c r="L13" s="107"/>
    </row>
    <row r="14" spans="1:12" s="3" customFormat="1" ht="18.75" customHeight="1">
      <c r="A14" s="104" t="s">
        <v>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6"/>
    </row>
    <row r="15" spans="1:12" ht="22.5" customHeight="1">
      <c r="A15" s="115" t="s">
        <v>17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7"/>
    </row>
    <row r="16" spans="1:12" s="7" customFormat="1" ht="370.5" customHeight="1">
      <c r="A16" s="19" t="s">
        <v>59</v>
      </c>
      <c r="B16" s="22" t="s">
        <v>241</v>
      </c>
      <c r="C16" s="23" t="s">
        <v>82</v>
      </c>
      <c r="D16" s="19" t="s">
        <v>29</v>
      </c>
      <c r="E16" s="19" t="s">
        <v>30</v>
      </c>
      <c r="F16" s="24" t="s">
        <v>98</v>
      </c>
      <c r="G16" s="20" t="s">
        <v>21</v>
      </c>
      <c r="H16" s="25">
        <f>158043.7+2438.8+2153.01+2849.7+2870.6-18.3</f>
        <v>168337.51000000004</v>
      </c>
      <c r="I16" s="25">
        <v>158043.7</v>
      </c>
      <c r="J16" s="25">
        <v>158043.7</v>
      </c>
      <c r="K16" s="26">
        <f aca="true" t="shared" si="0" ref="K16:K26">SUM(H16:J16)</f>
        <v>484424.9100000001</v>
      </c>
      <c r="L16" s="20" t="s">
        <v>55</v>
      </c>
    </row>
    <row r="17" spans="1:12" s="7" customFormat="1" ht="372" customHeight="1">
      <c r="A17" s="19" t="s">
        <v>60</v>
      </c>
      <c r="B17" s="22" t="s">
        <v>242</v>
      </c>
      <c r="C17" s="23" t="s">
        <v>82</v>
      </c>
      <c r="D17" s="19" t="s">
        <v>29</v>
      </c>
      <c r="E17" s="19" t="s">
        <v>30</v>
      </c>
      <c r="F17" s="24" t="s">
        <v>105</v>
      </c>
      <c r="G17" s="20" t="s">
        <v>21</v>
      </c>
      <c r="H17" s="27">
        <f>86795.3+1240.92+633.15+642.1</f>
        <v>89311.47</v>
      </c>
      <c r="I17" s="27">
        <v>86795.3</v>
      </c>
      <c r="J17" s="27">
        <v>86795.3</v>
      </c>
      <c r="K17" s="25">
        <f t="shared" si="0"/>
        <v>262902.07</v>
      </c>
      <c r="L17" s="20" t="s">
        <v>55</v>
      </c>
    </row>
    <row r="18" spans="1:12" s="7" customFormat="1" ht="111" customHeight="1">
      <c r="A18" s="19" t="s">
        <v>61</v>
      </c>
      <c r="B18" s="28" t="s">
        <v>39</v>
      </c>
      <c r="C18" s="23" t="s">
        <v>82</v>
      </c>
      <c r="D18" s="29" t="s">
        <v>29</v>
      </c>
      <c r="E18" s="29" t="s">
        <v>30</v>
      </c>
      <c r="F18" s="30" t="s">
        <v>106</v>
      </c>
      <c r="G18" s="31" t="s">
        <v>21</v>
      </c>
      <c r="H18" s="27">
        <f>40469.78+1035.06+60+20-0.01+415.65+50+186.94-85.97+10+1519+177.84-91.14+97.5+23.54+39.49</f>
        <v>43927.67999999999</v>
      </c>
      <c r="I18" s="27">
        <f>40469.78</f>
        <v>40469.78</v>
      </c>
      <c r="J18" s="27">
        <f>40470.08</f>
        <v>40470.08</v>
      </c>
      <c r="K18" s="26">
        <f t="shared" si="0"/>
        <v>124867.54</v>
      </c>
      <c r="L18" s="32" t="s">
        <v>56</v>
      </c>
    </row>
    <row r="19" spans="1:12" s="7" customFormat="1" ht="93.75" customHeight="1">
      <c r="A19" s="19" t="s">
        <v>62</v>
      </c>
      <c r="B19" s="28" t="s">
        <v>132</v>
      </c>
      <c r="C19" s="23" t="s">
        <v>82</v>
      </c>
      <c r="D19" s="29" t="s">
        <v>29</v>
      </c>
      <c r="E19" s="29" t="s">
        <v>30</v>
      </c>
      <c r="F19" s="30" t="s">
        <v>131</v>
      </c>
      <c r="G19" s="31" t="s">
        <v>21</v>
      </c>
      <c r="H19" s="27">
        <f>2294.3+367.1</f>
        <v>2661.4</v>
      </c>
      <c r="I19" s="27"/>
      <c r="J19" s="27"/>
      <c r="K19" s="26">
        <f t="shared" si="0"/>
        <v>2661.4</v>
      </c>
      <c r="L19" s="32"/>
    </row>
    <row r="20" spans="1:12" s="7" customFormat="1" ht="120.75" customHeight="1">
      <c r="A20" s="29" t="s">
        <v>190</v>
      </c>
      <c r="B20" s="28" t="s">
        <v>74</v>
      </c>
      <c r="C20" s="23" t="s">
        <v>82</v>
      </c>
      <c r="D20" s="29" t="s">
        <v>29</v>
      </c>
      <c r="E20" s="29" t="s">
        <v>30</v>
      </c>
      <c r="F20" s="30" t="s">
        <v>86</v>
      </c>
      <c r="G20" s="31" t="s">
        <v>21</v>
      </c>
      <c r="H20" s="27">
        <v>29812.7</v>
      </c>
      <c r="I20" s="27">
        <v>29812.7</v>
      </c>
      <c r="J20" s="27">
        <v>29812.7</v>
      </c>
      <c r="K20" s="26">
        <f t="shared" si="0"/>
        <v>89438.1</v>
      </c>
      <c r="L20" s="32" t="s">
        <v>75</v>
      </c>
    </row>
    <row r="21" spans="1:12" s="3" customFormat="1" ht="246.75" customHeight="1">
      <c r="A21" s="19" t="s">
        <v>191</v>
      </c>
      <c r="B21" s="33" t="s">
        <v>51</v>
      </c>
      <c r="C21" s="23" t="s">
        <v>82</v>
      </c>
      <c r="D21" s="19" t="s">
        <v>29</v>
      </c>
      <c r="E21" s="20">
        <v>1003</v>
      </c>
      <c r="F21" s="19" t="s">
        <v>87</v>
      </c>
      <c r="G21" s="20" t="s">
        <v>21</v>
      </c>
      <c r="H21" s="25">
        <v>629.8</v>
      </c>
      <c r="I21" s="25">
        <v>629.8</v>
      </c>
      <c r="J21" s="25">
        <v>629.8</v>
      </c>
      <c r="K21" s="26">
        <f t="shared" si="0"/>
        <v>1889.3999999999999</v>
      </c>
      <c r="L21" s="21" t="s">
        <v>22</v>
      </c>
    </row>
    <row r="22" spans="1:13" s="7" customFormat="1" ht="150" customHeight="1">
      <c r="A22" s="19" t="s">
        <v>137</v>
      </c>
      <c r="B22" s="34" t="s">
        <v>45</v>
      </c>
      <c r="C22" s="23" t="s">
        <v>82</v>
      </c>
      <c r="D22" s="19" t="s">
        <v>29</v>
      </c>
      <c r="E22" s="19" t="s">
        <v>30</v>
      </c>
      <c r="F22" s="20" t="s">
        <v>88</v>
      </c>
      <c r="G22" s="20" t="s">
        <v>21</v>
      </c>
      <c r="H22" s="25">
        <f>35199.7+244.28+299.46</f>
        <v>35743.439999999995</v>
      </c>
      <c r="I22" s="25">
        <v>35199.7</v>
      </c>
      <c r="J22" s="25">
        <v>35199.7</v>
      </c>
      <c r="K22" s="26">
        <f t="shared" si="0"/>
        <v>106142.83999999998</v>
      </c>
      <c r="L22" s="21" t="s">
        <v>63</v>
      </c>
      <c r="M22" s="7" t="s">
        <v>20</v>
      </c>
    </row>
    <row r="23" spans="1:12" s="7" customFormat="1" ht="146.25" customHeight="1">
      <c r="A23" s="19" t="s">
        <v>79</v>
      </c>
      <c r="B23" s="34" t="s">
        <v>45</v>
      </c>
      <c r="C23" s="23" t="s">
        <v>82</v>
      </c>
      <c r="D23" s="19" t="s">
        <v>29</v>
      </c>
      <c r="E23" s="19" t="s">
        <v>30</v>
      </c>
      <c r="F23" s="20" t="s">
        <v>155</v>
      </c>
      <c r="G23" s="20" t="s">
        <v>21</v>
      </c>
      <c r="H23" s="25">
        <f>204.41-204.41</f>
        <v>0</v>
      </c>
      <c r="I23" s="25">
        <v>204.41</v>
      </c>
      <c r="J23" s="25">
        <v>204.41</v>
      </c>
      <c r="K23" s="26">
        <f>SUM(H23:J23)</f>
        <v>408.82</v>
      </c>
      <c r="L23" s="21" t="s">
        <v>63</v>
      </c>
    </row>
    <row r="24" spans="1:12" s="7" customFormat="1" ht="119.25" customHeight="1">
      <c r="A24" s="19" t="s">
        <v>138</v>
      </c>
      <c r="B24" s="34" t="s">
        <v>259</v>
      </c>
      <c r="C24" s="23" t="s">
        <v>82</v>
      </c>
      <c r="D24" s="19" t="s">
        <v>29</v>
      </c>
      <c r="E24" s="19" t="s">
        <v>126</v>
      </c>
      <c r="F24" s="19" t="s">
        <v>261</v>
      </c>
      <c r="G24" s="20" t="s">
        <v>21</v>
      </c>
      <c r="H24" s="25">
        <f>1378.08+861.84</f>
        <v>2239.92</v>
      </c>
      <c r="I24" s="25"/>
      <c r="J24" s="25"/>
      <c r="K24" s="26">
        <f>SUM(H24:J24)</f>
        <v>2239.92</v>
      </c>
      <c r="L24" s="21" t="s">
        <v>262</v>
      </c>
    </row>
    <row r="25" spans="1:12" s="7" customFormat="1" ht="166.5" customHeight="1">
      <c r="A25" s="19" t="s">
        <v>161</v>
      </c>
      <c r="B25" s="33" t="s">
        <v>46</v>
      </c>
      <c r="C25" s="23" t="s">
        <v>82</v>
      </c>
      <c r="D25" s="19" t="s">
        <v>29</v>
      </c>
      <c r="E25" s="20">
        <v>1004</v>
      </c>
      <c r="F25" s="19" t="s">
        <v>89</v>
      </c>
      <c r="G25" s="20" t="s">
        <v>34</v>
      </c>
      <c r="H25" s="25">
        <v>6001.7</v>
      </c>
      <c r="I25" s="25">
        <v>6001.7</v>
      </c>
      <c r="J25" s="25">
        <v>6001.7</v>
      </c>
      <c r="K25" s="26">
        <f t="shared" si="0"/>
        <v>18005.1</v>
      </c>
      <c r="L25" s="21" t="s">
        <v>57</v>
      </c>
    </row>
    <row r="26" spans="1:12" s="7" customFormat="1" ht="90" customHeight="1">
      <c r="A26" s="19" t="s">
        <v>162</v>
      </c>
      <c r="B26" s="99" t="s">
        <v>119</v>
      </c>
      <c r="C26" s="23" t="s">
        <v>82</v>
      </c>
      <c r="D26" s="35" t="s">
        <v>29</v>
      </c>
      <c r="E26" s="20"/>
      <c r="F26" s="20"/>
      <c r="G26" s="20"/>
      <c r="H26" s="20">
        <f>24026.49+705.5+6550.02+410+168+23.18</f>
        <v>31883.190000000002</v>
      </c>
      <c r="I26" s="20">
        <f>24026.49+705.5</f>
        <v>24731.99</v>
      </c>
      <c r="J26" s="20">
        <f>24026.49+705.5</f>
        <v>24731.99</v>
      </c>
      <c r="K26" s="25">
        <f t="shared" si="0"/>
        <v>81347.17000000001</v>
      </c>
      <c r="L26" s="21" t="s">
        <v>58</v>
      </c>
    </row>
    <row r="27" spans="1:12" ht="225.75" customHeight="1">
      <c r="A27" s="19" t="s">
        <v>260</v>
      </c>
      <c r="B27" s="36" t="s">
        <v>47</v>
      </c>
      <c r="C27" s="23" t="s">
        <v>82</v>
      </c>
      <c r="D27" s="19" t="s">
        <v>29</v>
      </c>
      <c r="E27" s="37" t="s">
        <v>31</v>
      </c>
      <c r="F27" s="37" t="s">
        <v>90</v>
      </c>
      <c r="G27" s="20" t="s">
        <v>21</v>
      </c>
      <c r="H27" s="38">
        <f>111.9-21-0.01-24.45</f>
        <v>66.44</v>
      </c>
      <c r="I27" s="38">
        <v>111.9</v>
      </c>
      <c r="J27" s="38">
        <v>111.9</v>
      </c>
      <c r="K27" s="39">
        <f>SUM(H27:J27)</f>
        <v>290.24</v>
      </c>
      <c r="L27" s="36" t="s">
        <v>186</v>
      </c>
    </row>
    <row r="28" spans="1:12" s="3" customFormat="1" ht="24.75" customHeight="1">
      <c r="A28" s="125" t="s">
        <v>18</v>
      </c>
      <c r="B28" s="121"/>
      <c r="C28" s="121"/>
      <c r="D28" s="40"/>
      <c r="E28" s="41"/>
      <c r="F28" s="41"/>
      <c r="G28" s="41"/>
      <c r="H28" s="26">
        <f>SUM(H16:H27)</f>
        <v>410615.25000000006</v>
      </c>
      <c r="I28" s="26">
        <f>SUM(I16:I27)</f>
        <v>382000.98000000004</v>
      </c>
      <c r="J28" s="26">
        <f>SUM(J16:J27)</f>
        <v>382001.28</v>
      </c>
      <c r="K28" s="26">
        <f>SUM(K16:K27)</f>
        <v>1174617.5100000002</v>
      </c>
      <c r="L28" s="41"/>
    </row>
    <row r="29" spans="1:15" ht="36.75" customHeight="1">
      <c r="A29" s="112" t="s">
        <v>192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4"/>
      <c r="M29" s="5"/>
      <c r="N29" s="5"/>
      <c r="O29" s="5"/>
    </row>
    <row r="30" spans="1:12" ht="149.25" customHeight="1">
      <c r="A30" s="19" t="s">
        <v>193</v>
      </c>
      <c r="B30" s="36" t="s">
        <v>243</v>
      </c>
      <c r="C30" s="23" t="s">
        <v>82</v>
      </c>
      <c r="D30" s="19" t="s">
        <v>29</v>
      </c>
      <c r="E30" s="42" t="s">
        <v>30</v>
      </c>
      <c r="F30" s="42"/>
      <c r="G30" s="20" t="s">
        <v>21</v>
      </c>
      <c r="H30" s="43"/>
      <c r="I30" s="43"/>
      <c r="J30" s="43"/>
      <c r="K30" s="44">
        <f>SUM(H30:H30)</f>
        <v>0</v>
      </c>
      <c r="L30" s="36" t="s">
        <v>114</v>
      </c>
    </row>
    <row r="31" spans="1:12" ht="165.75" customHeight="1">
      <c r="A31" s="19" t="s">
        <v>194</v>
      </c>
      <c r="B31" s="36" t="s">
        <v>52</v>
      </c>
      <c r="C31" s="23" t="s">
        <v>82</v>
      </c>
      <c r="D31" s="19" t="s">
        <v>29</v>
      </c>
      <c r="E31" s="42" t="s">
        <v>32</v>
      </c>
      <c r="F31" s="42"/>
      <c r="G31" s="20" t="s">
        <v>21</v>
      </c>
      <c r="H31" s="43"/>
      <c r="I31" s="43"/>
      <c r="J31" s="43"/>
      <c r="K31" s="44">
        <f>SUM(H31:H31)</f>
        <v>0</v>
      </c>
      <c r="L31" s="36" t="s">
        <v>114</v>
      </c>
    </row>
    <row r="32" spans="1:12" ht="21" customHeight="1">
      <c r="A32" s="45"/>
      <c r="B32" s="41" t="s">
        <v>196</v>
      </c>
      <c r="C32" s="41"/>
      <c r="D32" s="41"/>
      <c r="E32" s="46"/>
      <c r="F32" s="47"/>
      <c r="G32" s="47"/>
      <c r="H32" s="26">
        <f>SUM(H30:H31)</f>
        <v>0</v>
      </c>
      <c r="I32" s="26">
        <f>SUM(I30:I31)</f>
        <v>0</v>
      </c>
      <c r="J32" s="26"/>
      <c r="K32" s="26">
        <f>SUM(K30:K31)</f>
        <v>0</v>
      </c>
      <c r="L32" s="26">
        <f>SUM(L30:L31)</f>
        <v>0</v>
      </c>
    </row>
    <row r="33" spans="1:13" s="1" customFormat="1" ht="59.25" customHeight="1">
      <c r="A33" s="126" t="s">
        <v>195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8"/>
      <c r="M33" s="4"/>
    </row>
    <row r="34" spans="1:13" s="1" customFormat="1" ht="165" customHeight="1">
      <c r="A34" s="48" t="s">
        <v>64</v>
      </c>
      <c r="B34" s="36" t="s">
        <v>1</v>
      </c>
      <c r="C34" s="23" t="s">
        <v>82</v>
      </c>
      <c r="D34" s="35" t="s">
        <v>29</v>
      </c>
      <c r="E34" s="36"/>
      <c r="F34" s="36"/>
      <c r="G34" s="36"/>
      <c r="H34" s="49"/>
      <c r="I34" s="49"/>
      <c r="J34" s="49"/>
      <c r="K34" s="47">
        <f>SUM(H34:H34)</f>
        <v>0</v>
      </c>
      <c r="L34" s="36" t="s">
        <v>120</v>
      </c>
      <c r="M34" s="2"/>
    </row>
    <row r="35" spans="1:13" s="1" customFormat="1" ht="80.25" customHeight="1">
      <c r="A35" s="48" t="s">
        <v>65</v>
      </c>
      <c r="B35" s="36" t="s">
        <v>12</v>
      </c>
      <c r="C35" s="23" t="s">
        <v>82</v>
      </c>
      <c r="D35" s="35" t="s">
        <v>29</v>
      </c>
      <c r="E35" s="36"/>
      <c r="F35" s="36"/>
      <c r="G35" s="36"/>
      <c r="H35" s="49"/>
      <c r="I35" s="49"/>
      <c r="J35" s="49"/>
      <c r="K35" s="47">
        <f>SUM(H35:H35)</f>
        <v>0</v>
      </c>
      <c r="L35" s="36" t="s">
        <v>13</v>
      </c>
      <c r="M35" s="2"/>
    </row>
    <row r="36" spans="1:13" s="1" customFormat="1" ht="25.5" customHeight="1">
      <c r="A36" s="50"/>
      <c r="B36" s="46" t="s">
        <v>14</v>
      </c>
      <c r="C36" s="46"/>
      <c r="D36" s="41"/>
      <c r="E36" s="46"/>
      <c r="F36" s="46"/>
      <c r="G36" s="46"/>
      <c r="H36" s="26">
        <f>SUM(H34:H35)</f>
        <v>0</v>
      </c>
      <c r="I36" s="26"/>
      <c r="J36" s="26"/>
      <c r="K36" s="26">
        <f>SUM(K34:K35)</f>
        <v>0</v>
      </c>
      <c r="L36" s="46"/>
      <c r="M36" s="2"/>
    </row>
    <row r="37" spans="1:13" s="1" customFormat="1" ht="36" customHeight="1">
      <c r="A37" s="129" t="s">
        <v>197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1"/>
      <c r="M37" s="2"/>
    </row>
    <row r="38" spans="1:13" s="9" customFormat="1" ht="389.25" customHeight="1">
      <c r="A38" s="51" t="s">
        <v>66</v>
      </c>
      <c r="B38" s="22" t="s">
        <v>244</v>
      </c>
      <c r="C38" s="23" t="s">
        <v>82</v>
      </c>
      <c r="D38" s="51" t="s">
        <v>29</v>
      </c>
      <c r="E38" s="52" t="s">
        <v>117</v>
      </c>
      <c r="F38" s="52" t="s">
        <v>100</v>
      </c>
      <c r="G38" s="20" t="s">
        <v>21</v>
      </c>
      <c r="H38" s="53">
        <f>224673.7-476.53+67.7+396.9+588.5</f>
        <v>225250.27000000002</v>
      </c>
      <c r="I38" s="53">
        <v>224673.7</v>
      </c>
      <c r="J38" s="53">
        <v>224673.7</v>
      </c>
      <c r="K38" s="54">
        <f aca="true" t="shared" si="1" ref="K38:K61">SUM(H38:J38)</f>
        <v>674597.67</v>
      </c>
      <c r="L38" s="55" t="s">
        <v>187</v>
      </c>
      <c r="M38" s="8"/>
    </row>
    <row r="39" spans="1:13" s="9" customFormat="1" ht="370.5" customHeight="1">
      <c r="A39" s="51" t="s">
        <v>67</v>
      </c>
      <c r="B39" s="96" t="s">
        <v>245</v>
      </c>
      <c r="C39" s="23" t="s">
        <v>82</v>
      </c>
      <c r="D39" s="51" t="s">
        <v>29</v>
      </c>
      <c r="E39" s="51" t="s">
        <v>32</v>
      </c>
      <c r="F39" s="52" t="s">
        <v>99</v>
      </c>
      <c r="G39" s="20" t="s">
        <v>21</v>
      </c>
      <c r="H39" s="53">
        <f>25506+128.63+65.63+66.6</f>
        <v>25766.86</v>
      </c>
      <c r="I39" s="53">
        <v>25506</v>
      </c>
      <c r="J39" s="53">
        <v>25506</v>
      </c>
      <c r="K39" s="54">
        <f t="shared" si="1"/>
        <v>76778.86</v>
      </c>
      <c r="L39" s="55" t="s">
        <v>111</v>
      </c>
      <c r="M39" s="8"/>
    </row>
    <row r="40" spans="1:13" s="9" customFormat="1" ht="215.25" customHeight="1">
      <c r="A40" s="51" t="s">
        <v>198</v>
      </c>
      <c r="B40" s="56" t="s">
        <v>41</v>
      </c>
      <c r="C40" s="23" t="s">
        <v>82</v>
      </c>
      <c r="D40" s="51" t="s">
        <v>29</v>
      </c>
      <c r="E40" s="51" t="s">
        <v>32</v>
      </c>
      <c r="F40" s="52" t="s">
        <v>101</v>
      </c>
      <c r="G40" s="20" t="s">
        <v>40</v>
      </c>
      <c r="H40" s="53">
        <f>47294.79+1187.83+296.79+203.19+42.28+57.95+87.5+21+626.06-202.85+1117.11+50+186.76+389.86+198.2+100+1.32+2101+863.4+10.5+13.02-197.5-2.8+741.16+12.95</f>
        <v>55199.52</v>
      </c>
      <c r="I40" s="53">
        <v>47294.79</v>
      </c>
      <c r="J40" s="53">
        <v>47294.79</v>
      </c>
      <c r="K40" s="54">
        <f t="shared" si="1"/>
        <v>149789.1</v>
      </c>
      <c r="L40" s="55" t="s">
        <v>187</v>
      </c>
      <c r="M40" s="8"/>
    </row>
    <row r="41" spans="1:13" s="9" customFormat="1" ht="89.25" customHeight="1">
      <c r="A41" s="51" t="s">
        <v>199</v>
      </c>
      <c r="B41" s="57" t="s">
        <v>83</v>
      </c>
      <c r="C41" s="23" t="s">
        <v>82</v>
      </c>
      <c r="D41" s="51" t="s">
        <v>29</v>
      </c>
      <c r="E41" s="52" t="s">
        <v>126</v>
      </c>
      <c r="F41" s="52" t="s">
        <v>50</v>
      </c>
      <c r="G41" s="20" t="s">
        <v>40</v>
      </c>
      <c r="H41" s="53">
        <f>1696.4-112.22-10.5-15.04-12.94</f>
        <v>1545.7</v>
      </c>
      <c r="I41" s="53">
        <v>1696.4</v>
      </c>
      <c r="J41" s="53">
        <v>1696.4</v>
      </c>
      <c r="K41" s="54">
        <f t="shared" si="1"/>
        <v>4938.5</v>
      </c>
      <c r="L41" s="55"/>
      <c r="M41" s="8"/>
    </row>
    <row r="42" spans="1:13" s="9" customFormat="1" ht="87" customHeight="1">
      <c r="A42" s="51" t="s">
        <v>200</v>
      </c>
      <c r="B42" s="57" t="s">
        <v>176</v>
      </c>
      <c r="C42" s="23" t="s">
        <v>82</v>
      </c>
      <c r="D42" s="51" t="s">
        <v>29</v>
      </c>
      <c r="E42" s="52" t="s">
        <v>126</v>
      </c>
      <c r="F42" s="52" t="s">
        <v>174</v>
      </c>
      <c r="G42" s="20" t="s">
        <v>37</v>
      </c>
      <c r="H42" s="53">
        <f>576.8</f>
        <v>576.8</v>
      </c>
      <c r="I42" s="53">
        <v>0</v>
      </c>
      <c r="J42" s="53">
        <v>0</v>
      </c>
      <c r="K42" s="54">
        <f t="shared" si="1"/>
        <v>576.8</v>
      </c>
      <c r="L42" s="55"/>
      <c r="M42" s="8"/>
    </row>
    <row r="43" spans="1:24" s="11" customFormat="1" ht="174" customHeight="1">
      <c r="A43" s="48" t="s">
        <v>201</v>
      </c>
      <c r="B43" s="58" t="s">
        <v>48</v>
      </c>
      <c r="C43" s="23" t="s">
        <v>82</v>
      </c>
      <c r="D43" s="51" t="s">
        <v>29</v>
      </c>
      <c r="E43" s="59">
        <v>702</v>
      </c>
      <c r="F43" s="37" t="s">
        <v>91</v>
      </c>
      <c r="G43" s="20" t="s">
        <v>77</v>
      </c>
      <c r="H43" s="60">
        <f>11635.4+8.1</f>
        <v>11643.5</v>
      </c>
      <c r="I43" s="60">
        <f>10039.2+8.1</f>
        <v>10047.300000000001</v>
      </c>
      <c r="J43" s="60">
        <f>12765.4+8.1</f>
        <v>12773.5</v>
      </c>
      <c r="K43" s="54">
        <f t="shared" si="1"/>
        <v>34464.3</v>
      </c>
      <c r="L43" s="36" t="s">
        <v>115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12" s="10" customFormat="1" ht="254.25" customHeight="1">
      <c r="A44" s="48" t="s">
        <v>202</v>
      </c>
      <c r="B44" s="61" t="s">
        <v>239</v>
      </c>
      <c r="C44" s="23" t="s">
        <v>82</v>
      </c>
      <c r="D44" s="51" t="s">
        <v>29</v>
      </c>
      <c r="E44" s="59">
        <v>1003</v>
      </c>
      <c r="F44" s="37" t="s">
        <v>233</v>
      </c>
      <c r="G44" s="20" t="s">
        <v>40</v>
      </c>
      <c r="H44" s="60">
        <f>16718.63+5572.87</f>
        <v>22291.5</v>
      </c>
      <c r="I44" s="60">
        <f>17170.5+5723.5</f>
        <v>22894</v>
      </c>
      <c r="J44" s="60">
        <f>5422.28+1807.42+15664.3</f>
        <v>22894</v>
      </c>
      <c r="K44" s="54">
        <f t="shared" si="1"/>
        <v>68079.5</v>
      </c>
      <c r="L44" s="62" t="s">
        <v>177</v>
      </c>
    </row>
    <row r="45" spans="1:12" s="10" customFormat="1" ht="256.5" customHeight="1">
      <c r="A45" s="48" t="s">
        <v>203</v>
      </c>
      <c r="B45" s="61" t="s">
        <v>239</v>
      </c>
      <c r="C45" s="23" t="s">
        <v>82</v>
      </c>
      <c r="D45" s="51" t="s">
        <v>29</v>
      </c>
      <c r="E45" s="59">
        <v>1003</v>
      </c>
      <c r="F45" s="37" t="s">
        <v>233</v>
      </c>
      <c r="G45" s="20" t="s">
        <v>40</v>
      </c>
      <c r="H45" s="60">
        <v>22.31</v>
      </c>
      <c r="I45" s="60">
        <v>22.92</v>
      </c>
      <c r="J45" s="60">
        <v>22.92</v>
      </c>
      <c r="K45" s="54">
        <f t="shared" si="1"/>
        <v>68.15</v>
      </c>
      <c r="L45" s="62" t="s">
        <v>177</v>
      </c>
    </row>
    <row r="46" spans="1:12" s="7" customFormat="1" ht="150" customHeight="1">
      <c r="A46" s="19" t="s">
        <v>204</v>
      </c>
      <c r="B46" s="34" t="s">
        <v>45</v>
      </c>
      <c r="C46" s="23" t="s">
        <v>82</v>
      </c>
      <c r="D46" s="51" t="s">
        <v>29</v>
      </c>
      <c r="E46" s="51" t="s">
        <v>32</v>
      </c>
      <c r="F46" s="20" t="s">
        <v>92</v>
      </c>
      <c r="G46" s="20" t="s">
        <v>21</v>
      </c>
      <c r="H46" s="25">
        <f>43701.43+255.72+55.99</f>
        <v>44013.14</v>
      </c>
      <c r="I46" s="25">
        <f>43701.43</f>
        <v>43701.43</v>
      </c>
      <c r="J46" s="25">
        <f>43701.43</f>
        <v>43701.43</v>
      </c>
      <c r="K46" s="54">
        <f t="shared" si="1"/>
        <v>131416</v>
      </c>
      <c r="L46" s="21" t="s">
        <v>35</v>
      </c>
    </row>
    <row r="47" spans="1:12" s="7" customFormat="1" ht="147" customHeight="1">
      <c r="A47" s="19" t="s">
        <v>205</v>
      </c>
      <c r="B47" s="34" t="s">
        <v>45</v>
      </c>
      <c r="C47" s="23" t="s">
        <v>82</v>
      </c>
      <c r="D47" s="51" t="s">
        <v>29</v>
      </c>
      <c r="E47" s="51" t="s">
        <v>32</v>
      </c>
      <c r="F47" s="20" t="s">
        <v>156</v>
      </c>
      <c r="G47" s="20" t="s">
        <v>21</v>
      </c>
      <c r="H47" s="25">
        <f>204.45-204.45</f>
        <v>0</v>
      </c>
      <c r="I47" s="25">
        <v>204.45</v>
      </c>
      <c r="J47" s="25">
        <v>204.45</v>
      </c>
      <c r="K47" s="54">
        <f t="shared" si="1"/>
        <v>408.9</v>
      </c>
      <c r="L47" s="21" t="s">
        <v>35</v>
      </c>
    </row>
    <row r="48" spans="1:12" s="7" customFormat="1" ht="108.75" customHeight="1">
      <c r="A48" s="19" t="s">
        <v>206</v>
      </c>
      <c r="B48" s="34" t="s">
        <v>132</v>
      </c>
      <c r="C48" s="23" t="s">
        <v>82</v>
      </c>
      <c r="D48" s="51" t="s">
        <v>29</v>
      </c>
      <c r="E48" s="51" t="s">
        <v>32</v>
      </c>
      <c r="F48" s="20" t="s">
        <v>133</v>
      </c>
      <c r="G48" s="20" t="s">
        <v>21</v>
      </c>
      <c r="H48" s="63">
        <f>2769.77+435.14</f>
        <v>3204.91</v>
      </c>
      <c r="I48" s="63">
        <v>0</v>
      </c>
      <c r="J48" s="63">
        <v>0</v>
      </c>
      <c r="K48" s="54">
        <f t="shared" si="1"/>
        <v>3204.91</v>
      </c>
      <c r="L48" s="21" t="s">
        <v>35</v>
      </c>
    </row>
    <row r="49" spans="1:12" s="7" customFormat="1" ht="126" customHeight="1">
      <c r="A49" s="19" t="s">
        <v>207</v>
      </c>
      <c r="B49" s="34" t="s">
        <v>159</v>
      </c>
      <c r="C49" s="23" t="s">
        <v>82</v>
      </c>
      <c r="D49" s="51" t="s">
        <v>29</v>
      </c>
      <c r="E49" s="51" t="s">
        <v>32</v>
      </c>
      <c r="F49" s="20" t="s">
        <v>154</v>
      </c>
      <c r="G49" s="20" t="s">
        <v>21</v>
      </c>
      <c r="H49" s="63">
        <f>26482.7</f>
        <v>26482.7</v>
      </c>
      <c r="I49" s="63">
        <f>26482.7</f>
        <v>26482.7</v>
      </c>
      <c r="J49" s="63">
        <f>26482.7</f>
        <v>26482.7</v>
      </c>
      <c r="K49" s="54">
        <f t="shared" si="1"/>
        <v>79448.1</v>
      </c>
      <c r="L49" s="21"/>
    </row>
    <row r="50" spans="1:12" s="3" customFormat="1" ht="97.5" customHeight="1">
      <c r="A50" s="19" t="s">
        <v>208</v>
      </c>
      <c r="B50" s="20" t="s">
        <v>121</v>
      </c>
      <c r="C50" s="23" t="s">
        <v>82</v>
      </c>
      <c r="D50" s="20"/>
      <c r="E50" s="20"/>
      <c r="F50" s="20"/>
      <c r="G50" s="20"/>
      <c r="H50" s="63">
        <f>22735.22+784.93+577+16.97</f>
        <v>24114.120000000003</v>
      </c>
      <c r="I50" s="63">
        <v>22735.22</v>
      </c>
      <c r="J50" s="63">
        <v>22735.22</v>
      </c>
      <c r="K50" s="54">
        <f t="shared" si="1"/>
        <v>69584.56</v>
      </c>
      <c r="L50" s="21"/>
    </row>
    <row r="51" spans="1:12" s="7" customFormat="1" ht="258.75" customHeight="1">
      <c r="A51" s="35" t="s">
        <v>209</v>
      </c>
      <c r="B51" s="20" t="s">
        <v>165</v>
      </c>
      <c r="C51" s="23" t="s">
        <v>82</v>
      </c>
      <c r="D51" s="51" t="s">
        <v>29</v>
      </c>
      <c r="E51" s="37" t="s">
        <v>109</v>
      </c>
      <c r="F51" s="37" t="s">
        <v>128</v>
      </c>
      <c r="G51" s="20" t="s">
        <v>37</v>
      </c>
      <c r="H51" s="53">
        <f>600+600</f>
        <v>1200</v>
      </c>
      <c r="I51" s="53">
        <v>0</v>
      </c>
      <c r="J51" s="53">
        <v>0</v>
      </c>
      <c r="K51" s="54">
        <f t="shared" si="1"/>
        <v>1200</v>
      </c>
      <c r="L51" s="55" t="s">
        <v>188</v>
      </c>
    </row>
    <row r="52" spans="1:12" s="7" customFormat="1" ht="265.5" customHeight="1">
      <c r="A52" s="35" t="s">
        <v>210</v>
      </c>
      <c r="B52" s="64" t="s">
        <v>129</v>
      </c>
      <c r="C52" s="23" t="s">
        <v>82</v>
      </c>
      <c r="D52" s="51" t="s">
        <v>29</v>
      </c>
      <c r="E52" s="37" t="s">
        <v>109</v>
      </c>
      <c r="F52" s="37" t="s">
        <v>130</v>
      </c>
      <c r="G52" s="20" t="s">
        <v>37</v>
      </c>
      <c r="H52" s="53">
        <f>6.1+6.1</f>
        <v>12.2</v>
      </c>
      <c r="I52" s="53">
        <v>0</v>
      </c>
      <c r="J52" s="53">
        <v>0</v>
      </c>
      <c r="K52" s="54">
        <f t="shared" si="1"/>
        <v>12.2</v>
      </c>
      <c r="L52" s="55" t="s">
        <v>188</v>
      </c>
    </row>
    <row r="53" spans="1:12" s="7" customFormat="1" ht="182.25" customHeight="1">
      <c r="A53" s="35" t="s">
        <v>211</v>
      </c>
      <c r="B53" s="64" t="s">
        <v>237</v>
      </c>
      <c r="C53" s="23" t="s">
        <v>82</v>
      </c>
      <c r="D53" s="51" t="s">
        <v>29</v>
      </c>
      <c r="E53" s="37" t="s">
        <v>109</v>
      </c>
      <c r="F53" s="37" t="s">
        <v>144</v>
      </c>
      <c r="G53" s="20" t="s">
        <v>37</v>
      </c>
      <c r="H53" s="53">
        <f>928.27+48.83+9.9+1754.62+0.08+280+2.8</f>
        <v>3024.5</v>
      </c>
      <c r="I53" s="53">
        <f>1934.03+101.77+20.6-664.88</f>
        <v>1391.52</v>
      </c>
      <c r="J53" s="53">
        <f>96.71+6.09+0.1+2698.05</f>
        <v>2800.9500000000003</v>
      </c>
      <c r="K53" s="54">
        <f t="shared" si="1"/>
        <v>7216.970000000001</v>
      </c>
      <c r="L53" s="55"/>
    </row>
    <row r="54" spans="1:12" s="7" customFormat="1" ht="146.25" customHeight="1">
      <c r="A54" s="35" t="s">
        <v>212</v>
      </c>
      <c r="B54" s="64" t="s">
        <v>238</v>
      </c>
      <c r="C54" s="23" t="s">
        <v>82</v>
      </c>
      <c r="D54" s="51" t="s">
        <v>29</v>
      </c>
      <c r="E54" s="37" t="s">
        <v>109</v>
      </c>
      <c r="F54" s="37" t="s">
        <v>145</v>
      </c>
      <c r="G54" s="20" t="s">
        <v>37</v>
      </c>
      <c r="H54" s="53">
        <f>3668.6+193.1+39.1-3900.8</f>
        <v>0</v>
      </c>
      <c r="I54" s="53">
        <f>5404.92+284.48+57.5-3085.71</f>
        <v>2661.1899999999996</v>
      </c>
      <c r="J54" s="53">
        <f>270.27+14.23+2.9+3812.8</f>
        <v>4100.2</v>
      </c>
      <c r="K54" s="54">
        <f t="shared" si="1"/>
        <v>6761.389999999999</v>
      </c>
      <c r="L54" s="55"/>
    </row>
    <row r="55" spans="1:12" s="7" customFormat="1" ht="125.25" customHeight="1">
      <c r="A55" s="35" t="s">
        <v>213</v>
      </c>
      <c r="B55" s="64" t="s">
        <v>258</v>
      </c>
      <c r="C55" s="23" t="s">
        <v>82</v>
      </c>
      <c r="D55" s="51" t="s">
        <v>29</v>
      </c>
      <c r="E55" s="37" t="s">
        <v>109</v>
      </c>
      <c r="F55" s="37" t="s">
        <v>178</v>
      </c>
      <c r="G55" s="20" t="s">
        <v>37</v>
      </c>
      <c r="H55" s="53">
        <f>423</f>
        <v>423</v>
      </c>
      <c r="I55" s="53">
        <v>0</v>
      </c>
      <c r="J55" s="53">
        <v>0</v>
      </c>
      <c r="K55" s="54">
        <f>SUM(H55:J55)</f>
        <v>423</v>
      </c>
      <c r="L55" s="55"/>
    </row>
    <row r="56" spans="1:12" s="7" customFormat="1" ht="135.75" customHeight="1">
      <c r="A56" s="35" t="s">
        <v>214</v>
      </c>
      <c r="B56" s="64" t="s">
        <v>258</v>
      </c>
      <c r="C56" s="23" t="s">
        <v>82</v>
      </c>
      <c r="D56" s="51" t="s">
        <v>29</v>
      </c>
      <c r="E56" s="37" t="s">
        <v>109</v>
      </c>
      <c r="F56" s="37" t="s">
        <v>234</v>
      </c>
      <c r="G56" s="20" t="s">
        <v>37</v>
      </c>
      <c r="H56" s="53">
        <v>6</v>
      </c>
      <c r="I56" s="53">
        <v>3</v>
      </c>
      <c r="J56" s="53">
        <v>3</v>
      </c>
      <c r="K56" s="54">
        <f t="shared" si="1"/>
        <v>12</v>
      </c>
      <c r="L56" s="55"/>
    </row>
    <row r="57" spans="1:12" s="7" customFormat="1" ht="162.75" customHeight="1">
      <c r="A57" s="35" t="s">
        <v>215</v>
      </c>
      <c r="B57" s="65" t="s">
        <v>146</v>
      </c>
      <c r="C57" s="23" t="s">
        <v>82</v>
      </c>
      <c r="D57" s="51" t="s">
        <v>29</v>
      </c>
      <c r="E57" s="42" t="s">
        <v>147</v>
      </c>
      <c r="F57" s="42" t="s">
        <v>148</v>
      </c>
      <c r="G57" s="20" t="s">
        <v>21</v>
      </c>
      <c r="H57" s="53">
        <f>7960.05</f>
        <v>7960.05</v>
      </c>
      <c r="I57" s="53"/>
      <c r="J57" s="53"/>
      <c r="K57" s="54">
        <f t="shared" si="1"/>
        <v>7960.05</v>
      </c>
      <c r="L57" s="55"/>
    </row>
    <row r="58" spans="1:12" s="7" customFormat="1" ht="93" customHeight="1">
      <c r="A58" s="35" t="s">
        <v>216</v>
      </c>
      <c r="B58" s="65" t="s">
        <v>253</v>
      </c>
      <c r="C58" s="23" t="s">
        <v>82</v>
      </c>
      <c r="D58" s="51" t="s">
        <v>29</v>
      </c>
      <c r="E58" s="42" t="s">
        <v>32</v>
      </c>
      <c r="F58" s="42" t="s">
        <v>254</v>
      </c>
      <c r="G58" s="20" t="s">
        <v>255</v>
      </c>
      <c r="H58" s="53">
        <v>470.7</v>
      </c>
      <c r="I58" s="53"/>
      <c r="J58" s="53"/>
      <c r="K58" s="54">
        <f t="shared" si="1"/>
        <v>470.7</v>
      </c>
      <c r="L58" s="55" t="s">
        <v>256</v>
      </c>
    </row>
    <row r="59" spans="1:12" s="7" customFormat="1" ht="124.5" customHeight="1">
      <c r="A59" s="35" t="s">
        <v>217</v>
      </c>
      <c r="B59" s="66" t="s">
        <v>246</v>
      </c>
      <c r="C59" s="23" t="s">
        <v>82</v>
      </c>
      <c r="D59" s="51" t="s">
        <v>29</v>
      </c>
      <c r="E59" s="42" t="s">
        <v>147</v>
      </c>
      <c r="F59" s="42" t="s">
        <v>189</v>
      </c>
      <c r="G59" s="20" t="s">
        <v>21</v>
      </c>
      <c r="H59" s="53">
        <f>57.9+22.5</f>
        <v>80.4</v>
      </c>
      <c r="I59" s="53">
        <v>34.3</v>
      </c>
      <c r="J59" s="53">
        <v>99</v>
      </c>
      <c r="K59" s="54">
        <f>SUM(H59:J59)</f>
        <v>213.7</v>
      </c>
      <c r="L59" s="55"/>
    </row>
    <row r="60" spans="1:12" ht="222.75" customHeight="1">
      <c r="A60" s="48" t="s">
        <v>218</v>
      </c>
      <c r="B60" s="22" t="s">
        <v>247</v>
      </c>
      <c r="C60" s="23" t="s">
        <v>82</v>
      </c>
      <c r="D60" s="19" t="s">
        <v>29</v>
      </c>
      <c r="E60" s="42" t="s">
        <v>108</v>
      </c>
      <c r="F60" s="42" t="s">
        <v>112</v>
      </c>
      <c r="G60" s="20" t="s">
        <v>21</v>
      </c>
      <c r="H60" s="67"/>
      <c r="I60" s="67"/>
      <c r="J60" s="67"/>
      <c r="K60" s="54">
        <f t="shared" si="1"/>
        <v>0</v>
      </c>
      <c r="L60" s="55" t="s">
        <v>188</v>
      </c>
    </row>
    <row r="61" spans="1:12" ht="147.75" customHeight="1">
      <c r="A61" s="48" t="s">
        <v>257</v>
      </c>
      <c r="B61" s="22" t="s">
        <v>247</v>
      </c>
      <c r="C61" s="23" t="s">
        <v>82</v>
      </c>
      <c r="D61" s="19" t="s">
        <v>29</v>
      </c>
      <c r="E61" s="42" t="s">
        <v>108</v>
      </c>
      <c r="F61" s="42" t="s">
        <v>112</v>
      </c>
      <c r="G61" s="20" t="s">
        <v>21</v>
      </c>
      <c r="H61" s="67">
        <v>10</v>
      </c>
      <c r="I61" s="67">
        <v>10</v>
      </c>
      <c r="J61" s="67">
        <v>10</v>
      </c>
      <c r="K61" s="54">
        <f t="shared" si="1"/>
        <v>30</v>
      </c>
      <c r="L61" s="37"/>
    </row>
    <row r="62" spans="1:13" s="9" customFormat="1" ht="28.5" customHeight="1">
      <c r="A62" s="132" t="s">
        <v>10</v>
      </c>
      <c r="B62" s="133"/>
      <c r="C62" s="68"/>
      <c r="D62" s="68"/>
      <c r="E62" s="68"/>
      <c r="F62" s="68"/>
      <c r="G62" s="69"/>
      <c r="H62" s="70">
        <f>SUM(H38:H61)</f>
        <v>453298.18000000005</v>
      </c>
      <c r="I62" s="70">
        <f>SUM(I38:I61)</f>
        <v>429358.92000000004</v>
      </c>
      <c r="J62" s="70">
        <f>SUM(J38:J61)</f>
        <v>434998.26</v>
      </c>
      <c r="K62" s="70">
        <f>SUM(K38:K61)</f>
        <v>1317655.3599999999</v>
      </c>
      <c r="L62" s="70">
        <f>SUM(L38:L52)</f>
        <v>0</v>
      </c>
      <c r="M62" s="8"/>
    </row>
    <row r="63" spans="1:13" s="9" customFormat="1" ht="39" customHeight="1">
      <c r="A63" s="134" t="s">
        <v>219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6"/>
      <c r="M63" s="8"/>
    </row>
    <row r="64" spans="1:13" s="9" customFormat="1" ht="102.75" customHeight="1">
      <c r="A64" s="35" t="s">
        <v>11</v>
      </c>
      <c r="B64" s="71" t="s">
        <v>42</v>
      </c>
      <c r="C64" s="23" t="s">
        <v>82</v>
      </c>
      <c r="D64" s="51" t="s">
        <v>29</v>
      </c>
      <c r="E64" s="52" t="s">
        <v>103</v>
      </c>
      <c r="F64" s="52" t="s">
        <v>102</v>
      </c>
      <c r="G64" s="20" t="s">
        <v>21</v>
      </c>
      <c r="H64" s="72">
        <f>11227.79-2788.09+257.32+35+638.82+36-545.42+151+80+16.74-195.3+100-410.52</f>
        <v>8603.34</v>
      </c>
      <c r="I64" s="72">
        <f>11227.79</f>
        <v>11227.79</v>
      </c>
      <c r="J64" s="72">
        <f>11227.79</f>
        <v>11227.79</v>
      </c>
      <c r="K64" s="73">
        <f aca="true" t="shared" si="2" ref="K64:K78">SUM(H64:J64)</f>
        <v>31058.920000000002</v>
      </c>
      <c r="L64" s="74" t="s">
        <v>81</v>
      </c>
      <c r="M64" s="8"/>
    </row>
    <row r="65" spans="1:13" s="9" customFormat="1" ht="188.25" customHeight="1">
      <c r="A65" s="35" t="s">
        <v>220</v>
      </c>
      <c r="B65" s="71" t="s">
        <v>172</v>
      </c>
      <c r="C65" s="23" t="s">
        <v>82</v>
      </c>
      <c r="D65" s="51" t="s">
        <v>29</v>
      </c>
      <c r="E65" s="52" t="s">
        <v>103</v>
      </c>
      <c r="F65" s="52" t="s">
        <v>167</v>
      </c>
      <c r="G65" s="20" t="s">
        <v>21</v>
      </c>
      <c r="H65" s="72">
        <f>1734.26</f>
        <v>1734.26</v>
      </c>
      <c r="I65" s="72">
        <f>1734.26</f>
        <v>1734.26</v>
      </c>
      <c r="J65" s="72">
        <f>1734.26</f>
        <v>1734.26</v>
      </c>
      <c r="K65" s="73">
        <f t="shared" si="2"/>
        <v>5202.78</v>
      </c>
      <c r="L65" s="74" t="s">
        <v>81</v>
      </c>
      <c r="M65" s="8"/>
    </row>
    <row r="66" spans="1:13" s="9" customFormat="1" ht="133.5" customHeight="1">
      <c r="A66" s="35" t="s">
        <v>221</v>
      </c>
      <c r="B66" s="71" t="s">
        <v>235</v>
      </c>
      <c r="C66" s="23" t="s">
        <v>82</v>
      </c>
      <c r="D66" s="51" t="s">
        <v>29</v>
      </c>
      <c r="E66" s="52" t="s">
        <v>103</v>
      </c>
      <c r="F66" s="52" t="s">
        <v>168</v>
      </c>
      <c r="G66" s="20" t="s">
        <v>21</v>
      </c>
      <c r="H66" s="72">
        <f>2788.09-130.2</f>
        <v>2657.8900000000003</v>
      </c>
      <c r="I66" s="72">
        <v>0</v>
      </c>
      <c r="J66" s="72">
        <v>0</v>
      </c>
      <c r="K66" s="73">
        <f t="shared" si="2"/>
        <v>2657.8900000000003</v>
      </c>
      <c r="L66" s="74" t="s">
        <v>81</v>
      </c>
      <c r="M66" s="8"/>
    </row>
    <row r="67" spans="1:13" s="9" customFormat="1" ht="131.25" customHeight="1">
      <c r="A67" s="35" t="s">
        <v>139</v>
      </c>
      <c r="B67" s="71" t="s">
        <v>236</v>
      </c>
      <c r="C67" s="23" t="s">
        <v>82</v>
      </c>
      <c r="D67" s="51" t="s">
        <v>29</v>
      </c>
      <c r="E67" s="52" t="s">
        <v>103</v>
      </c>
      <c r="F67" s="52" t="s">
        <v>169</v>
      </c>
      <c r="G67" s="20" t="s">
        <v>21</v>
      </c>
      <c r="H67" s="72">
        <f>9361.35+130.2+241.31</f>
        <v>9732.86</v>
      </c>
      <c r="I67" s="72">
        <v>0</v>
      </c>
      <c r="J67" s="72">
        <v>0</v>
      </c>
      <c r="K67" s="73">
        <f t="shared" si="2"/>
        <v>9732.86</v>
      </c>
      <c r="L67" s="74" t="s">
        <v>81</v>
      </c>
      <c r="M67" s="8"/>
    </row>
    <row r="68" spans="1:13" s="9" customFormat="1" ht="87.75" customHeight="1">
      <c r="A68" s="51" t="s">
        <v>140</v>
      </c>
      <c r="B68" s="57" t="s">
        <v>176</v>
      </c>
      <c r="C68" s="23" t="s">
        <v>82</v>
      </c>
      <c r="D68" s="51" t="s">
        <v>29</v>
      </c>
      <c r="E68" s="52" t="s">
        <v>103</v>
      </c>
      <c r="F68" s="52" t="s">
        <v>174</v>
      </c>
      <c r="G68" s="20" t="s">
        <v>37</v>
      </c>
      <c r="H68" s="72">
        <f>545.42+291.19-151</f>
        <v>685.6099999999999</v>
      </c>
      <c r="I68" s="72">
        <v>0</v>
      </c>
      <c r="J68" s="72">
        <v>0</v>
      </c>
      <c r="K68" s="73">
        <f t="shared" si="2"/>
        <v>685.6099999999999</v>
      </c>
      <c r="L68" s="55"/>
      <c r="M68" s="8"/>
    </row>
    <row r="69" spans="1:13" s="9" customFormat="1" ht="80.25" customHeight="1">
      <c r="A69" s="19" t="s">
        <v>141</v>
      </c>
      <c r="B69" s="28" t="s">
        <v>132</v>
      </c>
      <c r="C69" s="23" t="s">
        <v>82</v>
      </c>
      <c r="D69" s="19" t="s">
        <v>29</v>
      </c>
      <c r="E69" s="19" t="s">
        <v>134</v>
      </c>
      <c r="F69" s="24" t="s">
        <v>131</v>
      </c>
      <c r="G69" s="31" t="s">
        <v>21</v>
      </c>
      <c r="H69" s="25">
        <f>755.2+95.73+22.4+0.01-0.02</f>
        <v>873.32</v>
      </c>
      <c r="I69" s="25"/>
      <c r="J69" s="25"/>
      <c r="K69" s="26">
        <f t="shared" si="2"/>
        <v>873.32</v>
      </c>
      <c r="L69" s="20"/>
      <c r="M69" s="8"/>
    </row>
    <row r="70" spans="1:13" s="9" customFormat="1" ht="101.25" customHeight="1">
      <c r="A70" s="35" t="s">
        <v>222</v>
      </c>
      <c r="B70" s="71" t="s">
        <v>42</v>
      </c>
      <c r="C70" s="23" t="s">
        <v>82</v>
      </c>
      <c r="D70" s="51" t="s">
        <v>29</v>
      </c>
      <c r="E70" s="52" t="s">
        <v>71</v>
      </c>
      <c r="F70" s="52" t="s">
        <v>135</v>
      </c>
      <c r="G70" s="20" t="s">
        <v>21</v>
      </c>
      <c r="H70" s="72">
        <f>17034.34-9361.35-38.55+571.58</f>
        <v>8206.02</v>
      </c>
      <c r="I70" s="72">
        <f>17034.34</f>
        <v>17034.34</v>
      </c>
      <c r="J70" s="72">
        <f>17034.34</f>
        <v>17034.34</v>
      </c>
      <c r="K70" s="73">
        <f t="shared" si="2"/>
        <v>42274.7</v>
      </c>
      <c r="L70" s="74" t="s">
        <v>81</v>
      </c>
      <c r="M70" s="8"/>
    </row>
    <row r="71" spans="1:13" s="9" customFormat="1" ht="101.25" customHeight="1">
      <c r="A71" s="35" t="s">
        <v>180</v>
      </c>
      <c r="B71" s="75" t="s">
        <v>42</v>
      </c>
      <c r="C71" s="23" t="s">
        <v>82</v>
      </c>
      <c r="D71" s="51" t="s">
        <v>29</v>
      </c>
      <c r="E71" s="52" t="s">
        <v>71</v>
      </c>
      <c r="F71" s="52" t="s">
        <v>136</v>
      </c>
      <c r="G71" s="20" t="s">
        <v>21</v>
      </c>
      <c r="H71" s="72">
        <f>260.4</f>
        <v>260.4</v>
      </c>
      <c r="I71" s="72">
        <f>260.4</f>
        <v>260.4</v>
      </c>
      <c r="J71" s="72">
        <f>260.4</f>
        <v>260.4</v>
      </c>
      <c r="K71" s="73">
        <f t="shared" si="2"/>
        <v>781.1999999999999</v>
      </c>
      <c r="L71" s="76" t="s">
        <v>81</v>
      </c>
      <c r="M71" s="8"/>
    </row>
    <row r="72" spans="1:12" ht="153" customHeight="1">
      <c r="A72" s="35" t="s">
        <v>181</v>
      </c>
      <c r="B72" s="33" t="s">
        <v>45</v>
      </c>
      <c r="C72" s="23" t="s">
        <v>82</v>
      </c>
      <c r="D72" s="35" t="s">
        <v>29</v>
      </c>
      <c r="E72" s="77" t="s">
        <v>72</v>
      </c>
      <c r="F72" s="20" t="s">
        <v>93</v>
      </c>
      <c r="G72" s="20" t="s">
        <v>21</v>
      </c>
      <c r="H72" s="25">
        <f>11656.37-3406.65-653.6</f>
        <v>7596.120000000001</v>
      </c>
      <c r="I72" s="25">
        <f>11656.37</f>
        <v>11656.37</v>
      </c>
      <c r="J72" s="25">
        <f>11656.37</f>
        <v>11656.37</v>
      </c>
      <c r="K72" s="73">
        <f t="shared" si="2"/>
        <v>30908.86</v>
      </c>
      <c r="L72" s="21" t="s">
        <v>36</v>
      </c>
    </row>
    <row r="73" spans="1:12" ht="216" customHeight="1">
      <c r="A73" s="35" t="s">
        <v>182</v>
      </c>
      <c r="B73" s="33" t="s">
        <v>240</v>
      </c>
      <c r="C73" s="23" t="s">
        <v>82</v>
      </c>
      <c r="D73" s="35" t="s">
        <v>29</v>
      </c>
      <c r="E73" s="77" t="s">
        <v>72</v>
      </c>
      <c r="F73" s="20" t="s">
        <v>170</v>
      </c>
      <c r="G73" s="20" t="s">
        <v>21</v>
      </c>
      <c r="H73" s="25">
        <f>3406.65</f>
        <v>3406.65</v>
      </c>
      <c r="I73" s="25">
        <f>11185.36-11185.36</f>
        <v>0</v>
      </c>
      <c r="J73" s="25">
        <f>11185.36-11185.36</f>
        <v>0</v>
      </c>
      <c r="K73" s="73">
        <f t="shared" si="2"/>
        <v>3406.65</v>
      </c>
      <c r="L73" s="21" t="s">
        <v>36</v>
      </c>
    </row>
    <row r="74" spans="1:12" ht="144.75" customHeight="1">
      <c r="A74" s="35" t="s">
        <v>183</v>
      </c>
      <c r="B74" s="33" t="s">
        <v>45</v>
      </c>
      <c r="C74" s="23" t="s">
        <v>82</v>
      </c>
      <c r="D74" s="35" t="s">
        <v>29</v>
      </c>
      <c r="E74" s="77" t="s">
        <v>72</v>
      </c>
      <c r="F74" s="20" t="s">
        <v>157</v>
      </c>
      <c r="G74" s="20" t="s">
        <v>21</v>
      </c>
      <c r="H74" s="25">
        <f>91.14-91.14</f>
        <v>0</v>
      </c>
      <c r="I74" s="25">
        <v>91.14</v>
      </c>
      <c r="J74" s="25">
        <v>91.14</v>
      </c>
      <c r="K74" s="73">
        <f t="shared" si="2"/>
        <v>182.28</v>
      </c>
      <c r="L74" s="21" t="s">
        <v>36</v>
      </c>
    </row>
    <row r="75" spans="1:12" s="8" customFormat="1" ht="99.75" customHeight="1">
      <c r="A75" s="35" t="s">
        <v>184</v>
      </c>
      <c r="B75" s="55" t="s">
        <v>49</v>
      </c>
      <c r="C75" s="23" t="s">
        <v>82</v>
      </c>
      <c r="D75" s="35" t="s">
        <v>29</v>
      </c>
      <c r="E75" s="77" t="s">
        <v>73</v>
      </c>
      <c r="F75" s="20" t="s">
        <v>94</v>
      </c>
      <c r="G75" s="20" t="s">
        <v>21</v>
      </c>
      <c r="H75" s="78">
        <f>27+38.55</f>
        <v>65.55</v>
      </c>
      <c r="I75" s="78">
        <v>27</v>
      </c>
      <c r="J75" s="78">
        <v>27</v>
      </c>
      <c r="K75" s="73">
        <f t="shared" si="2"/>
        <v>119.55</v>
      </c>
      <c r="L75" s="55" t="s">
        <v>28</v>
      </c>
    </row>
    <row r="76" spans="1:12" ht="117" customHeight="1">
      <c r="A76" s="35" t="s">
        <v>223</v>
      </c>
      <c r="B76" s="56" t="s">
        <v>78</v>
      </c>
      <c r="C76" s="23" t="s">
        <v>82</v>
      </c>
      <c r="D76" s="35" t="s">
        <v>29</v>
      </c>
      <c r="E76" s="77" t="s">
        <v>73</v>
      </c>
      <c r="F76" s="24" t="s">
        <v>149</v>
      </c>
      <c r="G76" s="20" t="s">
        <v>21</v>
      </c>
      <c r="H76" s="78">
        <f>1180.1+374.2</f>
        <v>1554.3</v>
      </c>
      <c r="I76" s="78">
        <v>0</v>
      </c>
      <c r="J76" s="78">
        <v>0</v>
      </c>
      <c r="K76" s="73">
        <f t="shared" si="2"/>
        <v>1554.3</v>
      </c>
      <c r="L76" s="55" t="s">
        <v>85</v>
      </c>
    </row>
    <row r="77" spans="1:12" ht="215.25" customHeight="1">
      <c r="A77" s="35" t="s">
        <v>224</v>
      </c>
      <c r="B77" s="56" t="s">
        <v>173</v>
      </c>
      <c r="C77" s="23" t="s">
        <v>82</v>
      </c>
      <c r="D77" s="35" t="s">
        <v>29</v>
      </c>
      <c r="E77" s="77" t="s">
        <v>73</v>
      </c>
      <c r="F77" s="24" t="s">
        <v>171</v>
      </c>
      <c r="G77" s="20" t="s">
        <v>21</v>
      </c>
      <c r="H77" s="78" t="s">
        <v>265</v>
      </c>
      <c r="I77" s="78">
        <v>0</v>
      </c>
      <c r="J77" s="78">
        <v>0</v>
      </c>
      <c r="K77" s="73">
        <f t="shared" si="2"/>
        <v>0</v>
      </c>
      <c r="L77" s="55" t="s">
        <v>85</v>
      </c>
    </row>
    <row r="78" spans="1:13" ht="86.25" customHeight="1">
      <c r="A78" s="35" t="s">
        <v>185</v>
      </c>
      <c r="B78" s="55" t="s">
        <v>122</v>
      </c>
      <c r="C78" s="23" t="s">
        <v>82</v>
      </c>
      <c r="D78" s="35" t="s">
        <v>29</v>
      </c>
      <c r="E78" s="35"/>
      <c r="F78" s="97"/>
      <c r="G78" s="98"/>
      <c r="H78" s="78">
        <f>1103+938.58+1115.76+600+1616</f>
        <v>5373.34</v>
      </c>
      <c r="I78" s="78">
        <v>1103</v>
      </c>
      <c r="J78" s="78">
        <v>1103</v>
      </c>
      <c r="K78" s="73">
        <f t="shared" si="2"/>
        <v>7579.34</v>
      </c>
      <c r="L78" s="55"/>
      <c r="M78" s="6"/>
    </row>
    <row r="79" spans="1:12" s="8" customFormat="1" ht="36.75" customHeight="1">
      <c r="A79" s="79"/>
      <c r="B79" s="80" t="s">
        <v>15</v>
      </c>
      <c r="C79" s="80"/>
      <c r="D79" s="81"/>
      <c r="E79" s="81"/>
      <c r="F79" s="81"/>
      <c r="G79" s="81"/>
      <c r="H79" s="82">
        <f>SUM(H64:H78)</f>
        <v>50749.66000000002</v>
      </c>
      <c r="I79" s="82">
        <f>SUM(I64:I78)</f>
        <v>43134.3</v>
      </c>
      <c r="J79" s="82">
        <f>SUM(J64:J78)</f>
        <v>43134.3</v>
      </c>
      <c r="K79" s="82">
        <f>SUM(K64:K78)</f>
        <v>137018.26</v>
      </c>
      <c r="L79" s="80"/>
    </row>
    <row r="80" spans="1:12" s="8" customFormat="1" ht="54.75" customHeight="1">
      <c r="A80" s="109" t="s">
        <v>225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1"/>
    </row>
    <row r="81" spans="1:12" s="8" customFormat="1" ht="105.75" customHeight="1">
      <c r="A81" s="35" t="s">
        <v>19</v>
      </c>
      <c r="B81" s="36" t="s">
        <v>152</v>
      </c>
      <c r="C81" s="23" t="s">
        <v>82</v>
      </c>
      <c r="D81" s="51" t="s">
        <v>29</v>
      </c>
      <c r="E81" s="52" t="s">
        <v>151</v>
      </c>
      <c r="F81" s="37" t="s">
        <v>95</v>
      </c>
      <c r="G81" s="20" t="s">
        <v>21</v>
      </c>
      <c r="H81" s="27">
        <f>1200-153.8</f>
        <v>1046.2</v>
      </c>
      <c r="I81" s="27">
        <v>1200</v>
      </c>
      <c r="J81" s="27">
        <v>1200</v>
      </c>
      <c r="K81" s="83">
        <f aca="true" t="shared" si="3" ref="K81:K88">SUM(H81:J81)</f>
        <v>3446.2</v>
      </c>
      <c r="L81" s="84" t="s">
        <v>123</v>
      </c>
    </row>
    <row r="82" spans="1:12" s="8" customFormat="1" ht="98.25" customHeight="1">
      <c r="A82" s="35" t="s">
        <v>226</v>
      </c>
      <c r="B82" s="36" t="s">
        <v>76</v>
      </c>
      <c r="C82" s="23" t="s">
        <v>82</v>
      </c>
      <c r="D82" s="51" t="s">
        <v>29</v>
      </c>
      <c r="E82" s="52" t="s">
        <v>110</v>
      </c>
      <c r="F82" s="37" t="s">
        <v>96</v>
      </c>
      <c r="G82" s="20" t="s">
        <v>21</v>
      </c>
      <c r="H82" s="25">
        <f>2332.2+208.64+4992.05+539.78+1757.89+286.65+3501.59+263.48+600+1994.12+740.53+989.55-835.74</f>
        <v>17370.739999999994</v>
      </c>
      <c r="I82" s="25">
        <f>2332.2</f>
        <v>2332.2</v>
      </c>
      <c r="J82" s="25">
        <f>2332.2</f>
        <v>2332.2</v>
      </c>
      <c r="K82" s="83">
        <f t="shared" si="3"/>
        <v>22035.139999999996</v>
      </c>
      <c r="L82" s="84" t="s">
        <v>124</v>
      </c>
    </row>
    <row r="83" spans="1:12" s="8" customFormat="1" ht="133.5" customHeight="1">
      <c r="A83" s="35" t="s">
        <v>142</v>
      </c>
      <c r="B83" s="37" t="s">
        <v>166</v>
      </c>
      <c r="C83" s="23" t="s">
        <v>82</v>
      </c>
      <c r="D83" s="51" t="s">
        <v>29</v>
      </c>
      <c r="E83" s="51" t="s">
        <v>32</v>
      </c>
      <c r="F83" s="37" t="s">
        <v>163</v>
      </c>
      <c r="G83" s="20" t="s">
        <v>21</v>
      </c>
      <c r="H83" s="85">
        <v>0</v>
      </c>
      <c r="I83" s="85">
        <v>0</v>
      </c>
      <c r="J83" s="85">
        <v>0</v>
      </c>
      <c r="K83" s="83">
        <f>SUM(H83:J83)</f>
        <v>0</v>
      </c>
      <c r="L83" s="84" t="s">
        <v>164</v>
      </c>
    </row>
    <row r="84" spans="1:12" s="8" customFormat="1" ht="146.25" customHeight="1">
      <c r="A84" s="35" t="s">
        <v>104</v>
      </c>
      <c r="B84" s="36" t="s">
        <v>160</v>
      </c>
      <c r="C84" s="23" t="s">
        <v>82</v>
      </c>
      <c r="D84" s="51" t="s">
        <v>29</v>
      </c>
      <c r="E84" s="51" t="s">
        <v>32</v>
      </c>
      <c r="F84" s="37" t="s">
        <v>158</v>
      </c>
      <c r="G84" s="20" t="s">
        <v>21</v>
      </c>
      <c r="H84" s="85">
        <v>0</v>
      </c>
      <c r="I84" s="85">
        <v>0</v>
      </c>
      <c r="J84" s="85">
        <v>0</v>
      </c>
      <c r="K84" s="83">
        <f>SUM(H84:J84)</f>
        <v>0</v>
      </c>
      <c r="L84" s="84" t="s">
        <v>164</v>
      </c>
    </row>
    <row r="85" spans="1:12" s="8" customFormat="1" ht="163.5" customHeight="1">
      <c r="A85" s="35" t="s">
        <v>175</v>
      </c>
      <c r="B85" s="57" t="s">
        <v>252</v>
      </c>
      <c r="C85" s="23" t="s">
        <v>82</v>
      </c>
      <c r="D85" s="51" t="s">
        <v>29</v>
      </c>
      <c r="E85" s="52" t="s">
        <v>249</v>
      </c>
      <c r="F85" s="37" t="s">
        <v>153</v>
      </c>
      <c r="G85" s="20" t="s">
        <v>21</v>
      </c>
      <c r="H85" s="85">
        <v>4000</v>
      </c>
      <c r="I85" s="85">
        <v>0</v>
      </c>
      <c r="J85" s="85">
        <v>0</v>
      </c>
      <c r="K85" s="83">
        <f t="shared" si="3"/>
        <v>4000</v>
      </c>
      <c r="L85" s="84" t="s">
        <v>116</v>
      </c>
    </row>
    <row r="86" spans="1:12" s="8" customFormat="1" ht="132" customHeight="1">
      <c r="A86" s="35" t="s">
        <v>143</v>
      </c>
      <c r="B86" s="57" t="s">
        <v>251</v>
      </c>
      <c r="C86" s="23" t="s">
        <v>82</v>
      </c>
      <c r="D86" s="51" t="s">
        <v>29</v>
      </c>
      <c r="E86" s="52" t="s">
        <v>250</v>
      </c>
      <c r="F86" s="37" t="s">
        <v>84</v>
      </c>
      <c r="G86" s="20" t="s">
        <v>21</v>
      </c>
      <c r="H86" s="85">
        <f>65.5-35.03+31.04-6.1-3-11.41</f>
        <v>41</v>
      </c>
      <c r="I86" s="85">
        <f>65.5+37.66</f>
        <v>103.16</v>
      </c>
      <c r="J86" s="85">
        <f>90.3-64.93-15.7</f>
        <v>9.669999999999991</v>
      </c>
      <c r="K86" s="83">
        <f t="shared" si="3"/>
        <v>153.82999999999998</v>
      </c>
      <c r="L86" s="84" t="s">
        <v>116</v>
      </c>
    </row>
    <row r="87" spans="1:12" ht="132.75" customHeight="1">
      <c r="A87" s="35" t="s">
        <v>227</v>
      </c>
      <c r="B87" s="36" t="s">
        <v>150</v>
      </c>
      <c r="C87" s="23" t="s">
        <v>82</v>
      </c>
      <c r="D87" s="51" t="s">
        <v>29</v>
      </c>
      <c r="E87" s="51" t="s">
        <v>32</v>
      </c>
      <c r="F87" s="37" t="s">
        <v>97</v>
      </c>
      <c r="G87" s="20" t="s">
        <v>21</v>
      </c>
      <c r="H87" s="27">
        <f>2187.5+312.5</f>
        <v>2500</v>
      </c>
      <c r="I87" s="27">
        <f>2500</f>
        <v>2500</v>
      </c>
      <c r="J87" s="27">
        <f>2500</f>
        <v>2500</v>
      </c>
      <c r="K87" s="83">
        <f t="shared" si="3"/>
        <v>7500</v>
      </c>
      <c r="L87" s="36" t="s">
        <v>38</v>
      </c>
    </row>
    <row r="88" spans="1:13" ht="129.75" customHeight="1">
      <c r="A88" s="35" t="s">
        <v>228</v>
      </c>
      <c r="B88" s="36" t="s">
        <v>248</v>
      </c>
      <c r="C88" s="23" t="s">
        <v>82</v>
      </c>
      <c r="D88" s="51" t="s">
        <v>29</v>
      </c>
      <c r="E88" s="51" t="s">
        <v>32</v>
      </c>
      <c r="F88" s="37" t="s">
        <v>107</v>
      </c>
      <c r="G88" s="20" t="s">
        <v>21</v>
      </c>
      <c r="H88" s="27">
        <f>22.1+3.16</f>
        <v>25.26</v>
      </c>
      <c r="I88" s="27">
        <f>22.1</f>
        <v>22.1</v>
      </c>
      <c r="J88" s="27">
        <f>22.1</f>
        <v>22.1</v>
      </c>
      <c r="K88" s="83">
        <f t="shared" si="3"/>
        <v>69.46000000000001</v>
      </c>
      <c r="L88" s="36" t="s">
        <v>38</v>
      </c>
      <c r="M88" s="6"/>
    </row>
    <row r="89" spans="1:12" ht="42" customHeight="1">
      <c r="A89" s="80"/>
      <c r="B89" s="80" t="s">
        <v>23</v>
      </c>
      <c r="C89" s="80"/>
      <c r="D89" s="80"/>
      <c r="E89" s="80"/>
      <c r="F89" s="80"/>
      <c r="G89" s="80"/>
      <c r="H89" s="86">
        <f>SUM(H81:H88)</f>
        <v>24983.199999999993</v>
      </c>
      <c r="I89" s="86">
        <f>SUM(I81:I88)</f>
        <v>6157.46</v>
      </c>
      <c r="J89" s="86">
        <f>SUM(J81:J88)</f>
        <v>6063.97</v>
      </c>
      <c r="K89" s="86">
        <f>SUM(K81:K88)</f>
        <v>37204.63</v>
      </c>
      <c r="L89" s="86">
        <f>SUM(L81:L88)</f>
        <v>0</v>
      </c>
    </row>
    <row r="90" spans="1:12" ht="72" customHeight="1">
      <c r="A90" s="109" t="s">
        <v>229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1"/>
    </row>
    <row r="91" spans="1:12" s="8" customFormat="1" ht="98.25" customHeight="1">
      <c r="A91" s="87" t="s">
        <v>68</v>
      </c>
      <c r="B91" s="36" t="s">
        <v>152</v>
      </c>
      <c r="C91" s="23" t="s">
        <v>82</v>
      </c>
      <c r="D91" s="51" t="s">
        <v>29</v>
      </c>
      <c r="E91" s="51" t="s">
        <v>32</v>
      </c>
      <c r="F91" s="88" t="s">
        <v>80</v>
      </c>
      <c r="G91" s="20" t="s">
        <v>21</v>
      </c>
      <c r="H91" s="38"/>
      <c r="I91" s="38"/>
      <c r="J91" s="38"/>
      <c r="K91" s="39">
        <f>SUM(H91:J91)</f>
        <v>0</v>
      </c>
      <c r="L91" s="89" t="s">
        <v>70</v>
      </c>
    </row>
    <row r="92" spans="1:12" ht="26.25" customHeight="1">
      <c r="A92" s="80"/>
      <c r="B92" s="80" t="s">
        <v>33</v>
      </c>
      <c r="C92" s="80"/>
      <c r="D92" s="80"/>
      <c r="E92" s="80"/>
      <c r="F92" s="80"/>
      <c r="G92" s="80"/>
      <c r="H92" s="86">
        <f>SUM(H91:H91)</f>
        <v>0</v>
      </c>
      <c r="I92" s="86">
        <f>SUM(I91:I91)</f>
        <v>0</v>
      </c>
      <c r="J92" s="86">
        <f>SUM(J91:J91)</f>
        <v>0</v>
      </c>
      <c r="K92" s="86">
        <f>SUM(K91:K91)</f>
        <v>0</v>
      </c>
      <c r="L92" s="80"/>
    </row>
    <row r="93" spans="1:12" ht="55.5" customHeight="1">
      <c r="A93" s="109" t="s">
        <v>230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1"/>
    </row>
    <row r="94" spans="1:12" ht="94.5">
      <c r="A94" s="90" t="s">
        <v>69</v>
      </c>
      <c r="B94" s="36" t="s">
        <v>152</v>
      </c>
      <c r="C94" s="23" t="s">
        <v>82</v>
      </c>
      <c r="D94" s="35" t="s">
        <v>29</v>
      </c>
      <c r="E94" s="35" t="s">
        <v>32</v>
      </c>
      <c r="F94" s="48" t="s">
        <v>27</v>
      </c>
      <c r="G94" s="20" t="s">
        <v>21</v>
      </c>
      <c r="H94" s="25">
        <v>0</v>
      </c>
      <c r="I94" s="25">
        <v>0</v>
      </c>
      <c r="J94" s="25"/>
      <c r="K94" s="26">
        <f>SUM(H94:J94)</f>
        <v>0</v>
      </c>
      <c r="L94" s="89" t="s">
        <v>24</v>
      </c>
    </row>
    <row r="95" spans="1:12" ht="59.25" customHeight="1">
      <c r="A95" s="91" t="s">
        <v>231</v>
      </c>
      <c r="B95" s="84" t="s">
        <v>25</v>
      </c>
      <c r="C95" s="23" t="s">
        <v>82</v>
      </c>
      <c r="D95" s="35" t="s">
        <v>29</v>
      </c>
      <c r="E95" s="91"/>
      <c r="F95" s="91"/>
      <c r="G95" s="91" t="s">
        <v>0</v>
      </c>
      <c r="H95" s="92"/>
      <c r="I95" s="92"/>
      <c r="J95" s="92"/>
      <c r="K95" s="26">
        <f>SUM(H95:J95)</f>
        <v>0</v>
      </c>
      <c r="L95" s="84" t="s">
        <v>125</v>
      </c>
    </row>
    <row r="96" spans="1:12" ht="31.5" customHeight="1">
      <c r="A96" s="69"/>
      <c r="B96" s="93" t="s">
        <v>26</v>
      </c>
      <c r="C96" s="93"/>
      <c r="D96" s="69"/>
      <c r="E96" s="69"/>
      <c r="F96" s="69"/>
      <c r="G96" s="69"/>
      <c r="H96" s="70">
        <f>SUM(H94:H95)</f>
        <v>0</v>
      </c>
      <c r="I96" s="70">
        <f>SUM(I94:I95)</f>
        <v>0</v>
      </c>
      <c r="J96" s="70">
        <f>SUM(J94:J95)</f>
        <v>0</v>
      </c>
      <c r="K96" s="70">
        <f>SUM(K94:K95)</f>
        <v>0</v>
      </c>
      <c r="L96" s="69"/>
    </row>
    <row r="97" spans="1:12" ht="15.75">
      <c r="A97" s="94"/>
      <c r="B97" s="69" t="s">
        <v>16</v>
      </c>
      <c r="C97" s="69"/>
      <c r="D97" s="69"/>
      <c r="E97" s="69"/>
      <c r="F97" s="69"/>
      <c r="G97" s="69"/>
      <c r="H97" s="70">
        <f>H28+H32+H36+H62+H79+H89+H92+H96</f>
        <v>939646.2900000002</v>
      </c>
      <c r="I97" s="70">
        <f>I28+I32+I36+I62+I79+I89+I92+I96</f>
        <v>860651.6600000001</v>
      </c>
      <c r="J97" s="70">
        <f>J28+J32+J36+J62+J79+J89+J92+J96</f>
        <v>866197.81</v>
      </c>
      <c r="K97" s="70">
        <f>K28+K32+K36+K62+K79+K89+K92+K96</f>
        <v>2666495.76</v>
      </c>
      <c r="L97" s="69"/>
    </row>
    <row r="98" spans="1:12" ht="15.75" hidden="1">
      <c r="A98" s="14"/>
      <c r="B98" s="14" t="s">
        <v>127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">
      <c r="A99" s="1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ht="15.75">
      <c r="A100" s="15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</row>
    <row r="101" spans="1:12" ht="15">
      <c r="A101" s="15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ht="15">
      <c r="A102" s="1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</sheetData>
  <sheetProtection/>
  <mergeCells count="29">
    <mergeCell ref="A3:L3"/>
    <mergeCell ref="A4:L4"/>
    <mergeCell ref="A5:L5"/>
    <mergeCell ref="A93:L93"/>
    <mergeCell ref="B100:L100"/>
    <mergeCell ref="A28:C28"/>
    <mergeCell ref="A33:L33"/>
    <mergeCell ref="A37:L37"/>
    <mergeCell ref="A62:B62"/>
    <mergeCell ref="A63:L63"/>
    <mergeCell ref="A80:L80"/>
    <mergeCell ref="A90:L90"/>
    <mergeCell ref="A29:L29"/>
    <mergeCell ref="A15:L15"/>
    <mergeCell ref="A8:L8"/>
    <mergeCell ref="A9:L9"/>
    <mergeCell ref="A11:L11"/>
    <mergeCell ref="K12:K13"/>
    <mergeCell ref="H12:J12"/>
    <mergeCell ref="F2:L2"/>
    <mergeCell ref="A1:L1"/>
    <mergeCell ref="A7:L7"/>
    <mergeCell ref="A14:L14"/>
    <mergeCell ref="B12:B13"/>
    <mergeCell ref="L12:L13"/>
    <mergeCell ref="A12:A13"/>
    <mergeCell ref="D12:G12"/>
    <mergeCell ref="K6:L6"/>
    <mergeCell ref="A10:L10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1" r:id="rId1"/>
  <rowBreaks count="1" manualBreakCount="1">
    <brk id="37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2021-12-02T04:05:14Z</cp:lastPrinted>
  <dcterms:created xsi:type="dcterms:W3CDTF">2010-09-05T13:57:35Z</dcterms:created>
  <dcterms:modified xsi:type="dcterms:W3CDTF">2021-12-08T03:49:57Z</dcterms:modified>
  <cp:category/>
  <cp:version/>
  <cp:contentType/>
  <cp:contentStatus/>
</cp:coreProperties>
</file>