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'Лист1'!$A$1:$M$106</definedName>
  </definedNames>
  <calcPr fullCalcOnLoad="1"/>
</workbook>
</file>

<file path=xl/sharedStrings.xml><?xml version="1.0" encoding="utf-8"?>
<sst xmlns="http://schemas.openxmlformats.org/spreadsheetml/2006/main" count="556" uniqueCount="271">
  <si>
    <t xml:space="preserve"> </t>
  </si>
  <si>
    <t>Экспертиза огнезащитной обработки деревянных конструкций</t>
  </si>
  <si>
    <t>Цели, задачи, мероприятия</t>
  </si>
  <si>
    <t>ГРБС</t>
  </si>
  <si>
    <t>Код бюджетной классификации</t>
  </si>
  <si>
    <t>Рз Пр</t>
  </si>
  <si>
    <t>ЦСР</t>
  </si>
  <si>
    <t>ВР</t>
  </si>
  <si>
    <t xml:space="preserve">Ожидаемые результаты от реализации подпрограммных мероприятий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</si>
  <si>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</t>
  </si>
  <si>
    <t>Итого по задаче 4</t>
  </si>
  <si>
    <t>5.1.</t>
  </si>
  <si>
    <t>Текущий ремонт крылец эвакуационного выхода</t>
  </si>
  <si>
    <t>В 1-ом учреждении произведен текущий ремонт крылец эвакуационного выхода</t>
  </si>
  <si>
    <t>Итого по задаче 3</t>
  </si>
  <si>
    <t>Итого по задаче 5</t>
  </si>
  <si>
    <t>Итого по программе</t>
  </si>
  <si>
    <t>Задача 1.    Обеспечить доступность дошкольного образования, соответствующего единому стандарту качества дошкольного образования</t>
  </si>
  <si>
    <t>ИТОГО ПО ЗАДАЧЕ 1</t>
  </si>
  <si>
    <t>ИТОГО ПО ЗАДАЧЕ 2</t>
  </si>
  <si>
    <t>Задача 3.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Шарыпово» в соответствие с требованиями санитарных норм и правил</t>
  </si>
  <si>
    <t>Задача 5: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</si>
  <si>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Задача 6: Обеспечить устойчивое развитие муниципальной системы дополнительного образования, в том числе за счет разработки и реализации современных образовательных программ</t>
  </si>
  <si>
    <t>6.1.</t>
  </si>
  <si>
    <t xml:space="preserve">   </t>
  </si>
  <si>
    <t>611   612    621    622</t>
  </si>
  <si>
    <t xml:space="preserve">14 детей  получают льготу </t>
  </si>
  <si>
    <t>Итого по задаче 6</t>
  </si>
  <si>
    <t>Экспертиза огнезащитной обработки деревянных конструкций кровли и декораций</t>
  </si>
  <si>
    <t>Восстановление целостности ограждения территории по периметру</t>
  </si>
  <si>
    <t>Восстановлена целостность ограждения территории по периметру в 16-ти учреждениях</t>
  </si>
  <si>
    <t xml:space="preserve">Восстановление  наружного освещения </t>
  </si>
  <si>
    <t>Задача 7. Устранение нарушений СанПиН в соответствии с требованиями Управления Федеральной службы по надзору в сфере защиты прав потребителей и благополучия человека по Красноярскому краю (Территориальный отдел в г.Шарыпово)</t>
  </si>
  <si>
    <t>Итого по задаче 9</t>
  </si>
  <si>
    <t>Итого по задаче 8</t>
  </si>
  <si>
    <t>01.1.8509</t>
  </si>
  <si>
    <t>Ежемесячно 3 молодых специалиста получают персональную выплату</t>
  </si>
  <si>
    <t>013</t>
  </si>
  <si>
    <t>0701</t>
  </si>
  <si>
    <t>0702     0701</t>
  </si>
  <si>
    <t>0702</t>
  </si>
  <si>
    <t>Итого по задаче 7</t>
  </si>
  <si>
    <t>313    321     244</t>
  </si>
  <si>
    <t>64 человека ежемесячно получают оплату труда до минимального размера оплаты труда</t>
  </si>
  <si>
    <t>25 человек ежемесячно получают оплату труда до минимального размера оплаты труда</t>
  </si>
  <si>
    <t xml:space="preserve">611   612    621    622   </t>
  </si>
  <si>
    <t xml:space="preserve"> Проведены работы в общеобразовательных организациях с целью устранения предписаний надзорных органов к зданиям общеобразовательных организаций в 2016 году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</si>
  <si>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</si>
  <si>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612   622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</si>
  <si>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</si>
  <si>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</si>
  <si>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 xml:space="preserve">                                                                                                                                                            "Приложение №3</t>
  </si>
  <si>
    <t xml:space="preserve">                  к постановлению Администрации города Шарыпово от ___  _________ 216г. №______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</si>
  <si>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</si>
  <si>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</si>
  <si>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</si>
  <si>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</si>
  <si>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</si>
  <si>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 xml:space="preserve">  01.1.0087990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</si>
  <si>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</si>
  <si>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</si>
  <si>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 xml:space="preserve">                  Перечень мероприятий подпрограммы "Развитие дошкольного, общего и дополнительного образования" муниципального образования "город Шарыпово Красноярского края"</t>
  </si>
  <si>
    <t xml:space="preserve">    Приложение № 2</t>
  </si>
  <si>
    <t>муниципальной программы "Развитие образования" муниципального</t>
  </si>
  <si>
    <t xml:space="preserve">2677  детей посещают дошкольные образовательные учреждения              </t>
  </si>
  <si>
    <t xml:space="preserve">2677  детей посещают дошкольные образовательные учреждения </t>
  </si>
  <si>
    <t>За 2677 детей получат компенсацию за содержание детей в муниципальных дошкольных учреждениях</t>
  </si>
  <si>
    <t>2677  детей посещают дошкольные образовательные учреждения</t>
  </si>
  <si>
    <t>Задача 4. 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 Красноярского края» в соответствие с требованиями пожарной безопасности</t>
  </si>
  <si>
    <t>1.1.</t>
  </si>
  <si>
    <t>1.2.</t>
  </si>
  <si>
    <t>1.3.</t>
  </si>
  <si>
    <t>1.4.</t>
  </si>
  <si>
    <t>194  человека ежемесячно получают оплату труда до минимального размера оплаты труда</t>
  </si>
  <si>
    <t>2.1.</t>
  </si>
  <si>
    <t>3.1.</t>
  </si>
  <si>
    <t>3.2.</t>
  </si>
  <si>
    <t>4.1.</t>
  </si>
  <si>
    <t>4.2.</t>
  </si>
  <si>
    <t>5.2.</t>
  </si>
  <si>
    <t>5.3.</t>
  </si>
  <si>
    <t>7.1.</t>
  </si>
  <si>
    <t>7.2.</t>
  </si>
  <si>
    <t>8.1.</t>
  </si>
  <si>
    <t>В 9-ти учреждениях проведена экспертиза огнезащитной обработки деревянных конструкций кровли и декораций</t>
  </si>
  <si>
    <t>9.1.</t>
  </si>
  <si>
    <t>9.2.</t>
  </si>
  <si>
    <t>Задача 9. Создание условий для предупреждения и своевременного недопущения актов терроризма и других преступных действий, направленных против жизни, здоровья детей, педагогического состава и обслуживающего персонала в образовательных учреждениях</t>
  </si>
  <si>
    <t>0702    0707    0703</t>
  </si>
  <si>
    <t>0702     0707     0709    0703</t>
  </si>
  <si>
    <t>0702   0703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</si>
  <si>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</si>
  <si>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2677  детей посещающие дошкольные образовательные учреждения  обеспечены питанием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</si>
  <si>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</si>
  <si>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</si>
  <si>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Проведение текущего и капитального ремонта объектов социальной сферы муниципального образования города Шарыпово в рамках подпрограммы "Развитие дошкольного, общего и дополнительного образования"</t>
  </si>
  <si>
    <t>611   612    621    622   321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</si>
  <si>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</si>
  <si>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</t>
  </si>
  <si>
    <t>Средства на повышение размеров оплаты труда педагогическим работникам 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</si>
  <si>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1.8</t>
  </si>
  <si>
    <t>01.1.0085090</t>
  </si>
  <si>
    <t>Ежегодно 6302 человека получают услуги дополнительного  образования</t>
  </si>
  <si>
    <t>Управление образованием Администрации города Шарыпово</t>
  </si>
  <si>
    <t>Санитарная обработка инфекционных вспышек (гельминты)</t>
  </si>
  <si>
    <t xml:space="preserve">   01.100S8400      </t>
  </si>
  <si>
    <t>Ежемесячно 32 педагога получают стимулирующие выплаты</t>
  </si>
  <si>
    <t xml:space="preserve">  01.1.0085190     </t>
  </si>
  <si>
    <t xml:space="preserve"> 01.1.0075540</t>
  </si>
  <si>
    <t xml:space="preserve">   01.1.0010210</t>
  </si>
  <si>
    <t xml:space="preserve">   01.1.0075560</t>
  </si>
  <si>
    <t xml:space="preserve">01.1.0085030    </t>
  </si>
  <si>
    <t xml:space="preserve">01.1.0075660   </t>
  </si>
  <si>
    <t xml:space="preserve">      01.1.0010210</t>
  </si>
  <si>
    <t xml:space="preserve">        01.1.0010210</t>
  </si>
  <si>
    <t xml:space="preserve">        01.1.0010310</t>
  </si>
  <si>
    <t xml:space="preserve">           01.10085090</t>
  </si>
  <si>
    <t xml:space="preserve">   01.1.0085180</t>
  </si>
  <si>
    <t xml:space="preserve"> 01.10075630</t>
  </si>
  <si>
    <t xml:space="preserve">    01.1.0075880     </t>
  </si>
  <si>
    <t xml:space="preserve">          Задача 2    Создание дополнительных мест для получения детьми дошкольного возраста дошкольного образования</t>
  </si>
  <si>
    <t xml:space="preserve">            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</si>
  <si>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</si>
  <si>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 xml:space="preserve">     01.1.0074090        </t>
  </si>
  <si>
    <t xml:space="preserve">       01.1.0075640    </t>
  </si>
  <si>
    <t xml:space="preserve">  01.1.0085040  </t>
  </si>
  <si>
    <t xml:space="preserve">  01.1.0085050       </t>
  </si>
  <si>
    <t xml:space="preserve">   0707    0703</t>
  </si>
  <si>
    <t>6.4</t>
  </si>
  <si>
    <t>6.8</t>
  </si>
  <si>
    <t xml:space="preserve">  01.1.0074080        </t>
  </si>
  <si>
    <t xml:space="preserve"> 01.1.0085010      </t>
  </si>
  <si>
    <t>7.5</t>
  </si>
  <si>
    <t>01.100S5630</t>
  </si>
  <si>
    <t xml:space="preserve">0701,  0702   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</si>
  <si>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учеьно-вспомогательногоперсоналаи иных категорий работников образовательных организаций, участвующих в реализации общеобразовательных  прграмм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</si>
  <si>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</si>
  <si>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0701        0702</t>
  </si>
  <si>
    <t>0702    0701</t>
  </si>
  <si>
    <t>7.4</t>
  </si>
  <si>
    <t>Стабильное посещение 360 детей групп предшкольного образования: 2014 г. - 112 детей, 2015 год - 112 детей, 2016 год - 34 ребенка, 2017 год - 16 детей, 2018 год - 16 детей,  2019 год - 16 детей, 2020 год - 16 детей, 2021 год - 16 детей</t>
  </si>
  <si>
    <t>Услуги общего образования получают: 2014 год -4785 человек, 2015 год - 4819 человек, 2016 год - 5003 человека, 2017 год - 5129 человек, 2018 год - 5228 человек, 2019 год - 5250 человек, 2020 год - 5384 человека, 2021 год - 5390 человек</t>
  </si>
  <si>
    <t xml:space="preserve"> 01.100L0271</t>
  </si>
  <si>
    <t xml:space="preserve">образования "город Шарыпово Красноярского края" </t>
  </si>
  <si>
    <t>Произведено благоустройство территории в 1-м учреждении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</si>
  <si>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- 5390 человек</t>
  </si>
  <si>
    <t>1260 детей из малообеспеченных семей получают бесплатное школьное питание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</si>
  <si>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- 5390 человек, услуги дошкольного образования получают 2677 человек</t>
  </si>
  <si>
    <t>Текущий ремонт кровли произведен в 4-х учреждениях</t>
  </si>
  <si>
    <t>0702             0703</t>
  </si>
  <si>
    <t xml:space="preserve">к подпрограмме "Развитие дошкольного, общего и дополнительного образования" </t>
  </si>
  <si>
    <t>Родительская плата за содержание ребенка в муниципальных дошкольных образовательных учреждениях, благотворительные пожертвования, спонсорская помощь, платные услуги</t>
  </si>
  <si>
    <t>Экспертиза огнезащитной обработки деревянных конструкций -произведена в 8-ми учреждениях. Создание безопасных и комфортных условий для  1833 получателей услуг</t>
  </si>
  <si>
    <t>Плата родителей за питание детей в школьной столовой, благотворительные пожертвования, спонсорская помощь, платные услуги</t>
  </si>
  <si>
    <t>Благотворительные пожертвования, спонсорская помощь, платные услуги</t>
  </si>
  <si>
    <t>В 2-х  учреждениях произведен текущий ремонт водоснабжения и канализации в помещении   мастерских</t>
  </si>
  <si>
    <t>В 5-х учреждениях произведен текущий ремонт вытяжной вентиляции в помещении мастерских</t>
  </si>
  <si>
    <t>Задача 8.Устранение нарушений правил пожарной безопасности в соответствии с требованиями Главного управления Министерства Российской Федерации по делам гражданской обороны, чрезвычайным ситуациям и ликвидации последствий стихийных бедствий (МЧС) по Красноярскому краю (Отдел надзорной деятельности по г.Шарыпово, Шарыповскому и Ужурскому районам)</t>
  </si>
  <si>
    <t>Восстановлено  наружное освещение в 18-ти учреждениях</t>
  </si>
  <si>
    <t xml:space="preserve"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</t>
  </si>
  <si>
    <t>0701, 0702</t>
  </si>
  <si>
    <t>Руководитель управления образованием                                                               Л.Ф. Буйницкая</t>
  </si>
  <si>
    <t>Итого за период  2020-2022 годы</t>
  </si>
  <si>
    <t xml:space="preserve">  01.10015980</t>
  </si>
  <si>
    <t>Софинансирование к расходам, предусмотренные  на создание (обновление) материально- 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</t>
  </si>
  <si>
    <t xml:space="preserve">  01.100S5980</t>
  </si>
  <si>
    <t xml:space="preserve">       01.10010490</t>
  </si>
  <si>
    <t>Региональные выплаты , обеспечивающие уровень заработной платыне ниже МРЗП 19408 руб.</t>
  </si>
  <si>
    <t xml:space="preserve">      01.1.0010490</t>
  </si>
  <si>
    <t>0703    0707 0709</t>
  </si>
  <si>
    <t xml:space="preserve">  01.1.008505П         </t>
  </si>
  <si>
    <t xml:space="preserve">  01.1.008505В        </t>
  </si>
  <si>
    <t>1.6</t>
  </si>
  <si>
    <t>1.7</t>
  </si>
  <si>
    <t>1.9</t>
  </si>
  <si>
    <t>5.4</t>
  </si>
  <si>
    <t>5.5</t>
  </si>
  <si>
    <t>5.6</t>
  </si>
  <si>
    <t>5.7</t>
  </si>
  <si>
    <t>5.9</t>
  </si>
  <si>
    <t>5.10</t>
  </si>
  <si>
    <t>5.11</t>
  </si>
  <si>
    <t>5.12</t>
  </si>
  <si>
    <t>5.13</t>
  </si>
  <si>
    <t>6.3</t>
  </si>
  <si>
    <t>6.6</t>
  </si>
  <si>
    <t>6.7</t>
  </si>
  <si>
    <t>Расходы, предусмотренные на реализацию мероприятий по созданию (обновлению) материально- 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подпрограммыы "Развитие дошкольного, общего и дополнительного образования"</t>
  </si>
  <si>
    <t xml:space="preserve">  01.1.E151690</t>
  </si>
  <si>
    <t>Расходы, предусмотренные на реализацию мероприятий по внедрению целевой модели цифровой образовательной среды в общеобразовательных организациях и профессиональныз образовательных организациях в рамках подпрограммы "Развитие дошкольного, общего и дополнительного образования"</t>
  </si>
  <si>
    <t xml:space="preserve">  01.1.E452100</t>
  </si>
  <si>
    <t xml:space="preserve"> Расходы предусмотренные на проведение реконструкции или капитального ремонта зданий мунципальных общеобразовательных организаций Красноярского края, находящихся в аврийном состоянии в рамках подпрограммы "Развитие дошкольного, общего и дополнительного образования"</t>
  </si>
  <si>
    <t xml:space="preserve">0702,    </t>
  </si>
  <si>
    <t xml:space="preserve">           01.10075620</t>
  </si>
  <si>
    <t>5.15</t>
  </si>
  <si>
    <t>5.16</t>
  </si>
  <si>
    <t xml:space="preserve">    01.1.001048П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</si>
  <si>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</si>
  <si>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</si>
  <si>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0702         0703</t>
  </si>
  <si>
    <t>Подготовка 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</si>
  <si>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 xml:space="preserve">   01.10078400      </t>
  </si>
  <si>
    <t xml:space="preserve">01.1.0053040   </t>
  </si>
  <si>
    <t xml:space="preserve">      01.1.0053030</t>
  </si>
  <si>
    <t xml:space="preserve">       01.1001036А</t>
  </si>
  <si>
    <t xml:space="preserve">       01.10010360</t>
  </si>
  <si>
    <t xml:space="preserve">      01.1.001036А</t>
  </si>
  <si>
    <t xml:space="preserve">      01.1.0010250</t>
  </si>
  <si>
    <t xml:space="preserve">       01.10010250</t>
  </si>
  <si>
    <t xml:space="preserve">   01.1.001021Р</t>
  </si>
  <si>
    <t xml:space="preserve">      01.1.001021Р</t>
  </si>
  <si>
    <t xml:space="preserve">        01.1.001021Р</t>
  </si>
  <si>
    <t xml:space="preserve">   01.100S4300   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</si>
  <si>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"Развитие дошкольного, общего и дополнительного образования"</t>
  </si>
  <si>
    <t>Расходы на повышение с 1 июня 2020 года размеров оплаты труда в рамках подпрограммы "Развитие дошкольного, общего и дополнительного образования"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</si>
  <si>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образования"</t>
  </si>
  <si>
    <t>Софинансирование расходов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подпрограммы "Развитие дошкольного, общего и дополнительного образования"</t>
  </si>
  <si>
    <t>Расходы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дошкольного, общего и дополнительного образования"</t>
  </si>
  <si>
    <t>1.5</t>
  </si>
  <si>
    <t>1.10</t>
  </si>
  <si>
    <t>1.11</t>
  </si>
  <si>
    <t>1.12</t>
  </si>
  <si>
    <t>5.8</t>
  </si>
  <si>
    <t>5.14</t>
  </si>
  <si>
    <t>5.17</t>
  </si>
  <si>
    <t>5.18</t>
  </si>
  <si>
    <t>5.20</t>
  </si>
  <si>
    <t>5.21</t>
  </si>
  <si>
    <t>5.22</t>
  </si>
  <si>
    <t>6.9</t>
  </si>
  <si>
    <t>6.10</t>
  </si>
  <si>
    <t>6.11</t>
  </si>
  <si>
    <t>6.12</t>
  </si>
  <si>
    <t>7.3</t>
  </si>
  <si>
    <t>7.6</t>
  </si>
  <si>
    <t>7.7</t>
  </si>
  <si>
    <t xml:space="preserve">   01.10074300      </t>
  </si>
  <si>
    <t>Произведен текущий ремонт спортивного зала в одном общеобразовательном учреждении</t>
  </si>
  <si>
    <t xml:space="preserve"> 'Расходы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бюджета в рамках подпрограммы "Развитие дошкольного, общего и дополнительного образования"</t>
  </si>
  <si>
    <t>Создание в общеобразовательных организациях, расположенных 
в сельской местности и малых городах, условий для занятий физической культурой и спортом в рамках подпрограммы "Развитие дошкольного, общего и дополнительного образования"</t>
  </si>
  <si>
    <t xml:space="preserve">  01.1R373980   01.100S3980</t>
  </si>
  <si>
    <t>Софинансирование расходов предусмотренных 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</si>
  <si>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6.2</t>
  </si>
  <si>
    <t xml:space="preserve">  01.1.0089090       </t>
  </si>
  <si>
    <t xml:space="preserve">  01.1.0089100       </t>
  </si>
  <si>
    <t xml:space="preserve">  01.1.008910П       </t>
  </si>
  <si>
    <t xml:space="preserve">        01.1.001021У</t>
  </si>
  <si>
    <t xml:space="preserve">       01.1001036У</t>
  </si>
  <si>
    <t xml:space="preserve">       01.1001036Ф</t>
  </si>
  <si>
    <t xml:space="preserve">    01.1.001048У</t>
  </si>
  <si>
    <t>6.13</t>
  </si>
  <si>
    <t>6.14</t>
  </si>
  <si>
    <t>6.15</t>
  </si>
  <si>
    <t>6.16</t>
  </si>
  <si>
    <t>6.17</t>
  </si>
  <si>
    <t>6.18</t>
  </si>
  <si>
    <t>6.19</t>
  </si>
  <si>
    <t>7.8</t>
  </si>
  <si>
    <t>Расходы предусмотренные на 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</si>
  <si>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на обеспечение функционирования модели персонифицированного финансирования дополнительного образования детей  в рамках подпрограммы "Развитие дошкольного, общего и дополнительного образования"</t>
  </si>
  <si>
    <t>Расходы предусмотренные на функционирование муниципального опорного центра дополнительного образования детей  на 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</t>
  </si>
  <si>
    <t>Расходы на повышение с 1 июня 2020 года размеров оплаты труда на 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</t>
  </si>
  <si>
    <t>Средства на повышение размеров оплаты труда педагогическим работникам  муниципальных учреждений дополнительного образования реализующих программы дополнительного образования на 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</t>
  </si>
  <si>
    <t xml:space="preserve">  01.1.0089130</t>
  </si>
  <si>
    <t>6.5</t>
  </si>
  <si>
    <t>6.20</t>
  </si>
  <si>
    <t>Профилактические мероприятия по предотвращению распространаения коронавирусной инфекции, вызванной 2019-nCoV</t>
  </si>
  <si>
    <t>5.19</t>
  </si>
  <si>
    <t>Приложение № 3</t>
  </si>
  <si>
    <t>к постановлению Администрации города Шарыпово</t>
  </si>
  <si>
    <t>от 01.09.2020 года № 167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</si>
</sst>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  <numFmt numFmtId="180" formatCode="[$-FC19]d\ mmmm\ yyyy\ &quot;г.&quot;"/>
    <numFmt numFmtId="181" formatCode="#,##0.0"/>
    <numFmt numFmtId="182" formatCode="#,##0.000"/>
    <numFmt numFmtId="183" formatCode="0.000"/>
    <numFmt numFmtId="184" formatCode="?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wrapText="1"/>
    </xf>
    <xf numFmtId="183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3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14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 vertical="top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83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83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vertical="top"/>
    </xf>
    <xf numFmtId="2" fontId="2" fillId="0" borderId="17" xfId="0" applyNumberFormat="1" applyFont="1" applyFill="1" applyBorder="1" applyAlignment="1">
      <alignment vertical="top"/>
    </xf>
    <xf numFmtId="0" fontId="1" fillId="0" borderId="17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183" fontId="1" fillId="0" borderId="17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2" fontId="1" fillId="0" borderId="13" xfId="0" applyNumberFormat="1" applyFont="1" applyFill="1" applyBorder="1" applyAlignment="1">
      <alignment vertical="top" wrapText="1"/>
    </xf>
    <xf numFmtId="2" fontId="2" fillId="0" borderId="17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0" fontId="1" fillId="0" borderId="17" xfId="0" applyFont="1" applyFill="1" applyBorder="1" applyAlignment="1">
      <alignment horizontal="center" vertical="top" wrapText="1"/>
    </xf>
    <xf numFmtId="14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2" fontId="2" fillId="0" borderId="1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right" wrapText="1"/>
    </xf>
    <xf numFmtId="0" fontId="0" fillId="0" borderId="0" xfId="0" applyAlignment="1">
      <alignment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tabSelected="1" view="pageBreakPreview" zoomScale="75" zoomScaleNormal="75" zoomScaleSheetLayoutView="75" zoomScalePageLayoutView="0" workbookViewId="0" topLeftCell="A3">
      <selection activeCell="A9" sqref="A9:M9"/>
    </sheetView>
  </sheetViews>
  <sheetFormatPr defaultColWidth="9.00390625" defaultRowHeight="12.75"/>
  <cols>
    <col min="1" max="1" width="5.375" style="83" customWidth="1"/>
    <col min="2" max="2" width="39.00390625" style="84" customWidth="1"/>
    <col min="3" max="3" width="15.625" style="84" customWidth="1"/>
    <col min="4" max="4" width="7.625" style="84" customWidth="1"/>
    <col min="5" max="5" width="8.75390625" style="84" customWidth="1"/>
    <col min="6" max="6" width="14.625" style="84" customWidth="1"/>
    <col min="7" max="7" width="6.125" style="84" customWidth="1"/>
    <col min="8" max="8" width="12.75390625" style="84" customWidth="1"/>
    <col min="9" max="9" width="13.125" style="84" customWidth="1"/>
    <col min="10" max="10" width="13.25390625" style="84" customWidth="1"/>
    <col min="11" max="11" width="14.125" style="84" customWidth="1"/>
    <col min="12" max="12" width="17.625" style="84" customWidth="1"/>
    <col min="13" max="13" width="11.00390625" style="0" bestFit="1" customWidth="1"/>
    <col min="18" max="18" width="0.37109375" style="0" customWidth="1"/>
    <col min="19" max="19" width="9.125" style="0" hidden="1" customWidth="1"/>
    <col min="20" max="20" width="3.875" style="0" customWidth="1"/>
    <col min="21" max="21" width="13.25390625" style="0" customWidth="1"/>
  </cols>
  <sheetData>
    <row r="1" spans="1:12" ht="21.75" customHeight="1" hidden="1">
      <c r="A1" s="99" t="s">
        <v>51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21.75" customHeight="1" hidden="1">
      <c r="A2" s="13"/>
      <c r="B2" s="14"/>
      <c r="C2" s="14"/>
      <c r="D2" s="14"/>
      <c r="E2" s="14"/>
      <c r="F2" s="102" t="s">
        <v>52</v>
      </c>
      <c r="G2" s="102"/>
      <c r="H2" s="102"/>
      <c r="I2" s="102"/>
      <c r="J2" s="102"/>
      <c r="K2" s="102"/>
      <c r="L2" s="102"/>
    </row>
    <row r="3" spans="1:13" ht="21.75" customHeight="1">
      <c r="A3" s="99" t="s">
        <v>268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21.75" customHeight="1">
      <c r="A4" s="99" t="s">
        <v>269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21.75" customHeight="1">
      <c r="A5" s="99" t="s">
        <v>270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21.75" customHeight="1">
      <c r="A6" s="101" t="s">
        <v>62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3" ht="18.75" customHeight="1">
      <c r="A7" s="101" t="s">
        <v>150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0"/>
    </row>
    <row r="8" spans="1:13" ht="13.5" customHeight="1">
      <c r="A8" s="101" t="s">
        <v>63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0"/>
    </row>
    <row r="9" spans="1:13" ht="15.75" customHeight="1">
      <c r="A9" s="101" t="s">
        <v>143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0"/>
    </row>
    <row r="10" spans="1:12" ht="15.75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:12" ht="51.75" customHeight="1">
      <c r="A11" s="115" t="s">
        <v>61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7"/>
      <c r="L11" s="117"/>
    </row>
    <row r="12" spans="1:12" ht="40.5" customHeight="1">
      <c r="A12" s="108" t="s">
        <v>0</v>
      </c>
      <c r="B12" s="107" t="s">
        <v>2</v>
      </c>
      <c r="C12" s="16"/>
      <c r="D12" s="107" t="s">
        <v>4</v>
      </c>
      <c r="E12" s="107"/>
      <c r="F12" s="107"/>
      <c r="G12" s="107"/>
      <c r="H12" s="105"/>
      <c r="I12" s="118"/>
      <c r="J12" s="119"/>
      <c r="K12" s="107" t="s">
        <v>162</v>
      </c>
      <c r="L12" s="107" t="s">
        <v>8</v>
      </c>
    </row>
    <row r="13" spans="1:12" ht="40.5" customHeight="1">
      <c r="A13" s="108"/>
      <c r="B13" s="107"/>
      <c r="C13" s="16" t="s">
        <v>3</v>
      </c>
      <c r="D13" s="16" t="s">
        <v>3</v>
      </c>
      <c r="E13" s="16" t="s">
        <v>5</v>
      </c>
      <c r="F13" s="16" t="s">
        <v>6</v>
      </c>
      <c r="G13" s="16" t="s">
        <v>7</v>
      </c>
      <c r="H13" s="16">
        <v>2020</v>
      </c>
      <c r="I13" s="16">
        <v>2021</v>
      </c>
      <c r="J13" s="16">
        <v>2022</v>
      </c>
      <c r="K13" s="107"/>
      <c r="L13" s="107"/>
    </row>
    <row r="14" spans="1:12" s="3" customFormat="1" ht="18.75" customHeight="1">
      <c r="A14" s="104" t="s">
        <v>9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6"/>
    </row>
    <row r="15" spans="1:12" ht="22.5" customHeight="1">
      <c r="A15" s="112" t="s">
        <v>17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4"/>
    </row>
    <row r="16" spans="1:12" s="7" customFormat="1" ht="404.25" customHeight="1">
      <c r="A16" s="15" t="s">
        <v>69</v>
      </c>
      <c r="B16" s="18" t="s">
        <v>97</v>
      </c>
      <c r="C16" s="19" t="s">
        <v>103</v>
      </c>
      <c r="D16" s="15" t="s">
        <v>37</v>
      </c>
      <c r="E16" s="15" t="s">
        <v>38</v>
      </c>
      <c r="F16" s="20" t="s">
        <v>119</v>
      </c>
      <c r="G16" s="16" t="s">
        <v>25</v>
      </c>
      <c r="H16" s="21">
        <f>144445.1+2015.09+2.19+2416.9</f>
        <v>148879.28</v>
      </c>
      <c r="I16" s="21">
        <v>144445.1</v>
      </c>
      <c r="J16" s="21">
        <v>144445.1</v>
      </c>
      <c r="K16" s="22">
        <f aca="true" t="shared" si="0" ref="K16:K27">SUM(H16:J16)</f>
        <v>437769.48</v>
      </c>
      <c r="L16" s="16" t="s">
        <v>64</v>
      </c>
    </row>
    <row r="17" spans="1:12" s="7" customFormat="1" ht="372" customHeight="1">
      <c r="A17" s="15" t="s">
        <v>70</v>
      </c>
      <c r="B17" s="18" t="s">
        <v>135</v>
      </c>
      <c r="C17" s="19" t="s">
        <v>103</v>
      </c>
      <c r="D17" s="15" t="s">
        <v>37</v>
      </c>
      <c r="E17" s="15" t="s">
        <v>38</v>
      </c>
      <c r="F17" s="20" t="s">
        <v>130</v>
      </c>
      <c r="G17" s="16" t="s">
        <v>25</v>
      </c>
      <c r="H17" s="23">
        <f>77476.7+2359.75+2562.5</f>
        <v>82398.95</v>
      </c>
      <c r="I17" s="23">
        <f>77476.7+4393.3</f>
        <v>81870</v>
      </c>
      <c r="J17" s="23">
        <f>77476.7+4393.3</f>
        <v>81870</v>
      </c>
      <c r="K17" s="22">
        <f t="shared" si="0"/>
        <v>246138.95</v>
      </c>
      <c r="L17" s="16" t="s">
        <v>64</v>
      </c>
    </row>
    <row r="18" spans="1:12" s="7" customFormat="1" ht="138" customHeight="1">
      <c r="A18" s="15" t="s">
        <v>71</v>
      </c>
      <c r="B18" s="24" t="s">
        <v>47</v>
      </c>
      <c r="C18" s="19" t="s">
        <v>103</v>
      </c>
      <c r="D18" s="25" t="s">
        <v>37</v>
      </c>
      <c r="E18" s="25" t="s">
        <v>38</v>
      </c>
      <c r="F18" s="26" t="s">
        <v>131</v>
      </c>
      <c r="G18" s="27" t="s">
        <v>25</v>
      </c>
      <c r="H18" s="23">
        <f>34989.14+76.57+42.31-11.64+839.61+44.36+247.91</f>
        <v>36228.26</v>
      </c>
      <c r="I18" s="23">
        <v>34989.14</v>
      </c>
      <c r="J18" s="23">
        <v>34989.14</v>
      </c>
      <c r="K18" s="22">
        <f t="shared" si="0"/>
        <v>106206.54</v>
      </c>
      <c r="L18" s="28" t="s">
        <v>65</v>
      </c>
    </row>
    <row r="19" spans="1:12" s="7" customFormat="1" ht="135" customHeight="1">
      <c r="A19" s="15" t="s">
        <v>72</v>
      </c>
      <c r="B19" s="24" t="s">
        <v>167</v>
      </c>
      <c r="C19" s="19" t="s">
        <v>103</v>
      </c>
      <c r="D19" s="25" t="s">
        <v>37</v>
      </c>
      <c r="E19" s="25" t="s">
        <v>38</v>
      </c>
      <c r="F19" s="26" t="s">
        <v>166</v>
      </c>
      <c r="G19" s="27" t="s">
        <v>25</v>
      </c>
      <c r="H19" s="23">
        <v>2745.96</v>
      </c>
      <c r="I19" s="23"/>
      <c r="J19" s="23"/>
      <c r="K19" s="22">
        <f t="shared" si="0"/>
        <v>2745.96</v>
      </c>
      <c r="L19" s="28"/>
    </row>
    <row r="20" spans="1:12" s="7" customFormat="1" ht="135" customHeight="1">
      <c r="A20" s="25" t="s">
        <v>218</v>
      </c>
      <c r="B20" s="24" t="s">
        <v>214</v>
      </c>
      <c r="C20" s="19" t="s">
        <v>103</v>
      </c>
      <c r="D20" s="25" t="s">
        <v>37</v>
      </c>
      <c r="E20" s="25" t="s">
        <v>38</v>
      </c>
      <c r="F20" s="26" t="s">
        <v>204</v>
      </c>
      <c r="G20" s="27" t="s">
        <v>25</v>
      </c>
      <c r="H20" s="23">
        <f>186.27</f>
        <v>186.27</v>
      </c>
      <c r="I20" s="23"/>
      <c r="J20" s="23"/>
      <c r="K20" s="22">
        <f>SUM(H20:J20)</f>
        <v>186.27</v>
      </c>
      <c r="L20" s="28"/>
    </row>
    <row r="21" spans="1:12" s="7" customFormat="1" ht="135" customHeight="1">
      <c r="A21" s="25" t="s">
        <v>172</v>
      </c>
      <c r="B21" s="24" t="s">
        <v>214</v>
      </c>
      <c r="C21" s="19" t="s">
        <v>103</v>
      </c>
      <c r="D21" s="25" t="s">
        <v>37</v>
      </c>
      <c r="E21" s="25" t="s">
        <v>38</v>
      </c>
      <c r="F21" s="26" t="s">
        <v>205</v>
      </c>
      <c r="G21" s="27" t="s">
        <v>25</v>
      </c>
      <c r="H21" s="23">
        <v>627.79</v>
      </c>
      <c r="I21" s="23"/>
      <c r="J21" s="23"/>
      <c r="K21" s="22">
        <f>SUM(H21:J21)</f>
        <v>627.79</v>
      </c>
      <c r="L21" s="28"/>
    </row>
    <row r="22" spans="1:12" s="7" customFormat="1" ht="169.5" customHeight="1">
      <c r="A22" s="25" t="s">
        <v>173</v>
      </c>
      <c r="B22" s="24" t="s">
        <v>91</v>
      </c>
      <c r="C22" s="19" t="s">
        <v>103</v>
      </c>
      <c r="D22" s="25" t="s">
        <v>37</v>
      </c>
      <c r="E22" s="25" t="s">
        <v>38</v>
      </c>
      <c r="F22" s="26" t="s">
        <v>107</v>
      </c>
      <c r="G22" s="27" t="s">
        <v>25</v>
      </c>
      <c r="H22" s="23">
        <v>28776.7</v>
      </c>
      <c r="I22" s="23">
        <v>28776.7</v>
      </c>
      <c r="J22" s="23">
        <v>28776.7</v>
      </c>
      <c r="K22" s="22">
        <f t="shared" si="0"/>
        <v>86330.1</v>
      </c>
      <c r="L22" s="28" t="s">
        <v>92</v>
      </c>
    </row>
    <row r="23" spans="1:12" s="3" customFormat="1" ht="388.5" customHeight="1">
      <c r="A23" s="15" t="s">
        <v>100</v>
      </c>
      <c r="B23" s="29" t="s">
        <v>59</v>
      </c>
      <c r="C23" s="19" t="s">
        <v>103</v>
      </c>
      <c r="D23" s="15" t="s">
        <v>37</v>
      </c>
      <c r="E23" s="16">
        <v>1003</v>
      </c>
      <c r="F23" s="15" t="s">
        <v>108</v>
      </c>
      <c r="G23" s="16" t="s">
        <v>25</v>
      </c>
      <c r="H23" s="21">
        <v>629.8</v>
      </c>
      <c r="I23" s="21">
        <v>629.8</v>
      </c>
      <c r="J23" s="21">
        <v>629.8</v>
      </c>
      <c r="K23" s="22">
        <f t="shared" si="0"/>
        <v>1889.3999999999999</v>
      </c>
      <c r="L23" s="17" t="s">
        <v>26</v>
      </c>
    </row>
    <row r="24" spans="1:13" s="7" customFormat="1" ht="195" customHeight="1">
      <c r="A24" s="15" t="s">
        <v>174</v>
      </c>
      <c r="B24" s="30" t="s">
        <v>53</v>
      </c>
      <c r="C24" s="19" t="s">
        <v>103</v>
      </c>
      <c r="D24" s="15" t="s">
        <v>37</v>
      </c>
      <c r="E24" s="15" t="s">
        <v>38</v>
      </c>
      <c r="F24" s="16" t="s">
        <v>109</v>
      </c>
      <c r="G24" s="16" t="s">
        <v>25</v>
      </c>
      <c r="H24" s="21">
        <f>35738.09-300.01+300-627.79</f>
        <v>35110.28999999999</v>
      </c>
      <c r="I24" s="21">
        <v>35738.09</v>
      </c>
      <c r="J24" s="21">
        <v>35738.09</v>
      </c>
      <c r="K24" s="22">
        <f t="shared" si="0"/>
        <v>106586.46999999999</v>
      </c>
      <c r="L24" s="17" t="s">
        <v>73</v>
      </c>
      <c r="M24" s="7" t="s">
        <v>24</v>
      </c>
    </row>
    <row r="25" spans="1:12" s="7" customFormat="1" ht="195" customHeight="1">
      <c r="A25" s="15" t="s">
        <v>219</v>
      </c>
      <c r="B25" s="30" t="s">
        <v>53</v>
      </c>
      <c r="C25" s="19" t="s">
        <v>103</v>
      </c>
      <c r="D25" s="15" t="s">
        <v>37</v>
      </c>
      <c r="E25" s="15" t="s">
        <v>38</v>
      </c>
      <c r="F25" s="16" t="s">
        <v>209</v>
      </c>
      <c r="G25" s="16" t="s">
        <v>25</v>
      </c>
      <c r="H25" s="21">
        <f>383.91-383.91</f>
        <v>0</v>
      </c>
      <c r="I25" s="21">
        <v>0</v>
      </c>
      <c r="J25" s="21">
        <v>0</v>
      </c>
      <c r="K25" s="22">
        <f>SUM(H25:J25)</f>
        <v>0</v>
      </c>
      <c r="L25" s="17" t="s">
        <v>73</v>
      </c>
    </row>
    <row r="26" spans="1:12" s="7" customFormat="1" ht="215.25" customHeight="1">
      <c r="A26" s="15" t="s">
        <v>220</v>
      </c>
      <c r="B26" s="29" t="s">
        <v>54</v>
      </c>
      <c r="C26" s="19" t="s">
        <v>103</v>
      </c>
      <c r="D26" s="15" t="s">
        <v>121</v>
      </c>
      <c r="E26" s="16">
        <v>1004</v>
      </c>
      <c r="F26" s="15" t="s">
        <v>110</v>
      </c>
      <c r="G26" s="16" t="s">
        <v>42</v>
      </c>
      <c r="H26" s="21">
        <v>5428.6</v>
      </c>
      <c r="I26" s="21">
        <v>5428.6</v>
      </c>
      <c r="J26" s="21">
        <v>5428.6</v>
      </c>
      <c r="K26" s="22">
        <f t="shared" si="0"/>
        <v>16285.800000000001</v>
      </c>
      <c r="L26" s="17" t="s">
        <v>66</v>
      </c>
    </row>
    <row r="27" spans="1:12" s="7" customFormat="1" ht="171.75" customHeight="1">
      <c r="A27" s="15" t="s">
        <v>221</v>
      </c>
      <c r="B27" s="85" t="s">
        <v>151</v>
      </c>
      <c r="C27" s="19" t="s">
        <v>103</v>
      </c>
      <c r="D27" s="31" t="s">
        <v>37</v>
      </c>
      <c r="E27" s="16"/>
      <c r="F27" s="16"/>
      <c r="G27" s="16"/>
      <c r="H27" s="16">
        <f>24008.21+2195.1+251.25+10+604.33+210</f>
        <v>27278.89</v>
      </c>
      <c r="I27" s="16">
        <v>26203.31</v>
      </c>
      <c r="J27" s="16">
        <v>26203.31</v>
      </c>
      <c r="K27" s="22">
        <f t="shared" si="0"/>
        <v>79685.51</v>
      </c>
      <c r="L27" s="17" t="s">
        <v>67</v>
      </c>
    </row>
    <row r="28" spans="1:12" s="3" customFormat="1" ht="24.75" customHeight="1">
      <c r="A28" s="127" t="s">
        <v>18</v>
      </c>
      <c r="B28" s="118"/>
      <c r="C28" s="118"/>
      <c r="D28" s="32"/>
      <c r="E28" s="33"/>
      <c r="F28" s="33"/>
      <c r="G28" s="33"/>
      <c r="H28" s="22">
        <f>SUM(H16:H27)</f>
        <v>368290.79</v>
      </c>
      <c r="I28" s="22">
        <f>SUM(I16:I27)</f>
        <v>358080.73999999993</v>
      </c>
      <c r="J28" s="22">
        <f>SUM(J16:J27)</f>
        <v>358080.73999999993</v>
      </c>
      <c r="K28" s="22">
        <f>SUM(K16:K27)</f>
        <v>1084452.27</v>
      </c>
      <c r="L28" s="33"/>
    </row>
    <row r="29" spans="1:13" ht="25.5" customHeight="1">
      <c r="A29" s="124" t="s">
        <v>120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6"/>
      <c r="M29" s="12"/>
    </row>
    <row r="30" spans="1:12" ht="258" customHeight="1">
      <c r="A30" s="15" t="s">
        <v>74</v>
      </c>
      <c r="B30" s="34" t="s">
        <v>55</v>
      </c>
      <c r="C30" s="19" t="s">
        <v>103</v>
      </c>
      <c r="D30" s="15" t="s">
        <v>37</v>
      </c>
      <c r="E30" s="35" t="s">
        <v>39</v>
      </c>
      <c r="F30" s="35" t="s">
        <v>111</v>
      </c>
      <c r="G30" s="16" t="s">
        <v>25</v>
      </c>
      <c r="H30" s="36">
        <v>108</v>
      </c>
      <c r="I30" s="36">
        <v>108</v>
      </c>
      <c r="J30" s="36">
        <v>108</v>
      </c>
      <c r="K30" s="37">
        <f>SUM(H30:J30)</f>
        <v>324</v>
      </c>
      <c r="L30" s="34" t="s">
        <v>140</v>
      </c>
    </row>
    <row r="31" spans="1:12" ht="21" customHeight="1">
      <c r="A31" s="38"/>
      <c r="B31" s="39" t="s">
        <v>19</v>
      </c>
      <c r="C31" s="39"/>
      <c r="D31" s="40"/>
      <c r="E31" s="40"/>
      <c r="F31" s="40"/>
      <c r="G31" s="40"/>
      <c r="H31" s="37">
        <f>SUM(H30:H30)</f>
        <v>108</v>
      </c>
      <c r="I31" s="37">
        <f>SUM(I30:I30)</f>
        <v>108</v>
      </c>
      <c r="J31" s="37">
        <f>SUM(J30:J30)</f>
        <v>108</v>
      </c>
      <c r="K31" s="37">
        <f>SUM(K30:K30)</f>
        <v>324</v>
      </c>
      <c r="L31" s="40"/>
    </row>
    <row r="32" spans="1:15" ht="36.75" customHeight="1">
      <c r="A32" s="109" t="s">
        <v>20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1"/>
      <c r="M32" s="5"/>
      <c r="N32" s="5"/>
      <c r="O32" s="5"/>
    </row>
    <row r="33" spans="1:12" ht="195" customHeight="1">
      <c r="A33" s="15" t="s">
        <v>75</v>
      </c>
      <c r="B33" s="34" t="s">
        <v>93</v>
      </c>
      <c r="C33" s="19" t="s">
        <v>103</v>
      </c>
      <c r="D33" s="15" t="s">
        <v>37</v>
      </c>
      <c r="E33" s="41" t="s">
        <v>38</v>
      </c>
      <c r="F33" s="41"/>
      <c r="G33" s="16" t="s">
        <v>25</v>
      </c>
      <c r="H33" s="42"/>
      <c r="I33" s="42"/>
      <c r="J33" s="42"/>
      <c r="K33" s="43">
        <f>SUM(H33:H33)</f>
        <v>0</v>
      </c>
      <c r="L33" s="34" t="s">
        <v>144</v>
      </c>
    </row>
    <row r="34" spans="1:12" ht="204" customHeight="1">
      <c r="A34" s="15" t="s">
        <v>76</v>
      </c>
      <c r="B34" s="34" t="s">
        <v>94</v>
      </c>
      <c r="C34" s="19" t="s">
        <v>103</v>
      </c>
      <c r="D34" s="15" t="s">
        <v>37</v>
      </c>
      <c r="E34" s="41" t="s">
        <v>40</v>
      </c>
      <c r="F34" s="41"/>
      <c r="G34" s="16" t="s">
        <v>25</v>
      </c>
      <c r="H34" s="42"/>
      <c r="I34" s="42"/>
      <c r="J34" s="42"/>
      <c r="K34" s="43">
        <f>SUM(H34:H34)</f>
        <v>0</v>
      </c>
      <c r="L34" s="34" t="s">
        <v>144</v>
      </c>
    </row>
    <row r="35" spans="1:12" ht="21" customHeight="1">
      <c r="A35" s="44"/>
      <c r="B35" s="33" t="s">
        <v>14</v>
      </c>
      <c r="C35" s="33"/>
      <c r="D35" s="33"/>
      <c r="E35" s="40"/>
      <c r="F35" s="45"/>
      <c r="G35" s="45"/>
      <c r="H35" s="22">
        <f>SUM(H33:H34)</f>
        <v>0</v>
      </c>
      <c r="I35" s="22">
        <f>SUM(I33:I34)</f>
        <v>0</v>
      </c>
      <c r="J35" s="22"/>
      <c r="K35" s="22">
        <f>SUM(K33:K34)</f>
        <v>0</v>
      </c>
      <c r="L35" s="22">
        <f>SUM(L33:L34)</f>
        <v>0</v>
      </c>
    </row>
    <row r="36" spans="1:13" s="1" customFormat="1" ht="59.25" customHeight="1">
      <c r="A36" s="128" t="s">
        <v>68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30"/>
      <c r="M36" s="4"/>
    </row>
    <row r="37" spans="1:13" s="1" customFormat="1" ht="225" customHeight="1">
      <c r="A37" s="46" t="s">
        <v>77</v>
      </c>
      <c r="B37" s="34" t="s">
        <v>1</v>
      </c>
      <c r="C37" s="19" t="s">
        <v>103</v>
      </c>
      <c r="D37" s="31" t="s">
        <v>37</v>
      </c>
      <c r="E37" s="34"/>
      <c r="F37" s="34"/>
      <c r="G37" s="34"/>
      <c r="H37" s="47"/>
      <c r="I37" s="47"/>
      <c r="J37" s="47"/>
      <c r="K37" s="45">
        <f>SUM(H37:H37)</f>
        <v>0</v>
      </c>
      <c r="L37" s="34" t="s">
        <v>152</v>
      </c>
      <c r="M37" s="2"/>
    </row>
    <row r="38" spans="1:13" s="1" customFormat="1" ht="80.25" customHeight="1">
      <c r="A38" s="46" t="s">
        <v>78</v>
      </c>
      <c r="B38" s="34" t="s">
        <v>12</v>
      </c>
      <c r="C38" s="19" t="s">
        <v>103</v>
      </c>
      <c r="D38" s="31" t="s">
        <v>37</v>
      </c>
      <c r="E38" s="34"/>
      <c r="F38" s="34"/>
      <c r="G38" s="34"/>
      <c r="H38" s="47"/>
      <c r="I38" s="47"/>
      <c r="J38" s="47"/>
      <c r="K38" s="45">
        <f>SUM(H38:H38)</f>
        <v>0</v>
      </c>
      <c r="L38" s="34" t="s">
        <v>13</v>
      </c>
      <c r="M38" s="2"/>
    </row>
    <row r="39" spans="1:13" s="1" customFormat="1" ht="25.5" customHeight="1">
      <c r="A39" s="48"/>
      <c r="B39" s="40" t="s">
        <v>10</v>
      </c>
      <c r="C39" s="40"/>
      <c r="D39" s="33"/>
      <c r="E39" s="40"/>
      <c r="F39" s="40"/>
      <c r="G39" s="40"/>
      <c r="H39" s="22">
        <f>SUM(H37:H38)</f>
        <v>0</v>
      </c>
      <c r="I39" s="22"/>
      <c r="J39" s="22"/>
      <c r="K39" s="22">
        <f>SUM(K37:K38)</f>
        <v>0</v>
      </c>
      <c r="L39" s="40"/>
      <c r="M39" s="2"/>
    </row>
    <row r="40" spans="1:13" s="1" customFormat="1" ht="36" customHeight="1">
      <c r="A40" s="131" t="s">
        <v>21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3"/>
      <c r="M40" s="2"/>
    </row>
    <row r="41" spans="1:13" s="9" customFormat="1" ht="409.5" customHeight="1">
      <c r="A41" s="49" t="s">
        <v>11</v>
      </c>
      <c r="B41" s="18" t="s">
        <v>98</v>
      </c>
      <c r="C41" s="19" t="s">
        <v>103</v>
      </c>
      <c r="D41" s="49" t="s">
        <v>37</v>
      </c>
      <c r="E41" s="50" t="s">
        <v>149</v>
      </c>
      <c r="F41" s="50" t="s">
        <v>124</v>
      </c>
      <c r="G41" s="16" t="s">
        <v>25</v>
      </c>
      <c r="H41" s="51">
        <f>212102.1+673.93-330.2+848.65</f>
        <v>213294.47999999998</v>
      </c>
      <c r="I41" s="51">
        <v>212102.1</v>
      </c>
      <c r="J41" s="51">
        <v>212102.1</v>
      </c>
      <c r="K41" s="52">
        <f aca="true" t="shared" si="1" ref="K41:K62">SUM(H41:J41)</f>
        <v>637498.6799999999</v>
      </c>
      <c r="L41" s="53" t="s">
        <v>145</v>
      </c>
      <c r="M41" s="8"/>
    </row>
    <row r="42" spans="1:13" s="9" customFormat="1" ht="370.5" customHeight="1">
      <c r="A42" s="49" t="s">
        <v>79</v>
      </c>
      <c r="B42" s="86" t="s">
        <v>122</v>
      </c>
      <c r="C42" s="19" t="s">
        <v>103</v>
      </c>
      <c r="D42" s="49" t="s">
        <v>37</v>
      </c>
      <c r="E42" s="49" t="s">
        <v>40</v>
      </c>
      <c r="F42" s="50" t="s">
        <v>123</v>
      </c>
      <c r="G42" s="16" t="s">
        <v>25</v>
      </c>
      <c r="H42" s="51">
        <f>22213.3+185.08+1322.7</f>
        <v>23721.08</v>
      </c>
      <c r="I42" s="51">
        <f>22213.3+2267.3</f>
        <v>24480.6</v>
      </c>
      <c r="J42" s="51">
        <f>22213.3+2267.3</f>
        <v>24480.6</v>
      </c>
      <c r="K42" s="52">
        <f t="shared" si="1"/>
        <v>72682.28</v>
      </c>
      <c r="L42" s="53" t="s">
        <v>141</v>
      </c>
      <c r="M42" s="8"/>
    </row>
    <row r="43" spans="1:13" s="9" customFormat="1" ht="285.75" customHeight="1">
      <c r="A43" s="49" t="s">
        <v>80</v>
      </c>
      <c r="B43" s="92" t="s">
        <v>49</v>
      </c>
      <c r="C43" s="19" t="s">
        <v>103</v>
      </c>
      <c r="D43" s="49" t="s">
        <v>37</v>
      </c>
      <c r="E43" s="49" t="s">
        <v>40</v>
      </c>
      <c r="F43" s="50" t="s">
        <v>125</v>
      </c>
      <c r="G43" s="16" t="s">
        <v>48</v>
      </c>
      <c r="H43" s="51">
        <f>41345.64+582.73+345.2+132-0.3+456.45+304.71+0.01+210.06+66.2+324.27</f>
        <v>43766.96999999999</v>
      </c>
      <c r="I43" s="51">
        <f>41357.63-49</f>
        <v>41308.63</v>
      </c>
      <c r="J43" s="51">
        <f>41357.64-78.12+0.01</f>
        <v>41279.53</v>
      </c>
      <c r="K43" s="52">
        <f t="shared" si="1"/>
        <v>126355.12999999998</v>
      </c>
      <c r="L43" s="53" t="s">
        <v>145</v>
      </c>
      <c r="M43" s="8"/>
    </row>
    <row r="44" spans="1:13" s="9" customFormat="1" ht="101.25" customHeight="1">
      <c r="A44" s="49" t="s">
        <v>175</v>
      </c>
      <c r="B44" s="54" t="s">
        <v>104</v>
      </c>
      <c r="C44" s="19" t="s">
        <v>103</v>
      </c>
      <c r="D44" s="49" t="s">
        <v>37</v>
      </c>
      <c r="E44" s="50" t="s">
        <v>160</v>
      </c>
      <c r="F44" s="50" t="s">
        <v>58</v>
      </c>
      <c r="G44" s="16" t="s">
        <v>48</v>
      </c>
      <c r="H44" s="51">
        <v>1696.4</v>
      </c>
      <c r="I44" s="51">
        <v>1696.4</v>
      </c>
      <c r="J44" s="51">
        <v>1696.4</v>
      </c>
      <c r="K44" s="52">
        <f t="shared" si="1"/>
        <v>5089.200000000001</v>
      </c>
      <c r="L44" s="53"/>
      <c r="M44" s="8"/>
    </row>
    <row r="45" spans="1:13" s="9" customFormat="1" ht="114.75" customHeight="1">
      <c r="A45" s="49" t="s">
        <v>176</v>
      </c>
      <c r="B45" s="54" t="s">
        <v>266</v>
      </c>
      <c r="C45" s="19" t="s">
        <v>103</v>
      </c>
      <c r="D45" s="49" t="s">
        <v>37</v>
      </c>
      <c r="E45" s="50" t="s">
        <v>160</v>
      </c>
      <c r="F45" s="50" t="s">
        <v>263</v>
      </c>
      <c r="G45" s="16" t="s">
        <v>45</v>
      </c>
      <c r="H45" s="51">
        <v>2809.31</v>
      </c>
      <c r="I45" s="51">
        <v>0</v>
      </c>
      <c r="J45" s="51">
        <v>0</v>
      </c>
      <c r="K45" s="52">
        <f>SUM(H45:J45)</f>
        <v>2809.31</v>
      </c>
      <c r="L45" s="53"/>
      <c r="M45" s="8"/>
    </row>
    <row r="46" spans="1:24" s="11" customFormat="1" ht="263.25" customHeight="1">
      <c r="A46" s="46" t="s">
        <v>177</v>
      </c>
      <c r="B46" s="87" t="s">
        <v>56</v>
      </c>
      <c r="C46" s="19" t="s">
        <v>103</v>
      </c>
      <c r="D46" s="49" t="s">
        <v>37</v>
      </c>
      <c r="E46" s="88">
        <v>702</v>
      </c>
      <c r="F46" s="35" t="s">
        <v>112</v>
      </c>
      <c r="G46" s="16" t="s">
        <v>96</v>
      </c>
      <c r="H46" s="89">
        <f>11610.1-2317.8</f>
        <v>9292.3</v>
      </c>
      <c r="I46" s="89">
        <v>11610.1</v>
      </c>
      <c r="J46" s="89">
        <v>11610.1</v>
      </c>
      <c r="K46" s="52">
        <f t="shared" si="1"/>
        <v>32512.5</v>
      </c>
      <c r="L46" s="34" t="s">
        <v>146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12" s="10" customFormat="1" ht="263.25" customHeight="1">
      <c r="A47" s="46" t="s">
        <v>178</v>
      </c>
      <c r="B47" s="87" t="s">
        <v>213</v>
      </c>
      <c r="C47" s="19" t="s">
        <v>103</v>
      </c>
      <c r="D47" s="49" t="s">
        <v>37</v>
      </c>
      <c r="E47" s="88">
        <v>1003</v>
      </c>
      <c r="F47" s="35" t="s">
        <v>202</v>
      </c>
      <c r="G47" s="16" t="s">
        <v>96</v>
      </c>
      <c r="H47" s="89">
        <v>4635.6</v>
      </c>
      <c r="I47" s="89">
        <v>0</v>
      </c>
      <c r="J47" s="89">
        <v>0</v>
      </c>
      <c r="K47" s="52">
        <f>SUM(H47:J47)</f>
        <v>4635.6</v>
      </c>
      <c r="L47" s="34" t="s">
        <v>146</v>
      </c>
    </row>
    <row r="48" spans="1:12" s="7" customFormat="1" ht="192" customHeight="1">
      <c r="A48" s="15" t="s">
        <v>222</v>
      </c>
      <c r="B48" s="30" t="s">
        <v>53</v>
      </c>
      <c r="C48" s="19" t="s">
        <v>103</v>
      </c>
      <c r="D48" s="49" t="s">
        <v>37</v>
      </c>
      <c r="E48" s="49" t="s">
        <v>40</v>
      </c>
      <c r="F48" s="16" t="s">
        <v>113</v>
      </c>
      <c r="G48" s="16" t="s">
        <v>25</v>
      </c>
      <c r="H48" s="21">
        <f>42394.45-25+25-805.47</f>
        <v>41588.979999999996</v>
      </c>
      <c r="I48" s="21">
        <v>42394.45</v>
      </c>
      <c r="J48" s="21">
        <v>42394.45</v>
      </c>
      <c r="K48" s="52">
        <f t="shared" si="1"/>
        <v>126377.87999999999</v>
      </c>
      <c r="L48" s="17" t="s">
        <v>43</v>
      </c>
    </row>
    <row r="49" spans="1:12" s="7" customFormat="1" ht="192" customHeight="1">
      <c r="A49" s="15" t="s">
        <v>179</v>
      </c>
      <c r="B49" s="30" t="s">
        <v>53</v>
      </c>
      <c r="C49" s="19" t="s">
        <v>103</v>
      </c>
      <c r="D49" s="49" t="s">
        <v>37</v>
      </c>
      <c r="E49" s="49" t="s">
        <v>40</v>
      </c>
      <c r="F49" s="16" t="s">
        <v>210</v>
      </c>
      <c r="G49" s="16" t="s">
        <v>25</v>
      </c>
      <c r="H49" s="21">
        <f>325.5-325.5</f>
        <v>0</v>
      </c>
      <c r="I49" s="21">
        <v>0</v>
      </c>
      <c r="J49" s="21">
        <v>0</v>
      </c>
      <c r="K49" s="52">
        <f>SUM(H49:J49)</f>
        <v>0</v>
      </c>
      <c r="L49" s="17" t="s">
        <v>43</v>
      </c>
    </row>
    <row r="50" spans="1:12" s="7" customFormat="1" ht="132" customHeight="1">
      <c r="A50" s="15" t="s">
        <v>180</v>
      </c>
      <c r="B50" s="30" t="s">
        <v>167</v>
      </c>
      <c r="C50" s="19" t="s">
        <v>103</v>
      </c>
      <c r="D50" s="49" t="s">
        <v>37</v>
      </c>
      <c r="E50" s="49" t="s">
        <v>40</v>
      </c>
      <c r="F50" s="16" t="s">
        <v>168</v>
      </c>
      <c r="G50" s="16" t="s">
        <v>25</v>
      </c>
      <c r="H50" s="55">
        <v>3278.29</v>
      </c>
      <c r="I50" s="55">
        <v>0</v>
      </c>
      <c r="J50" s="55">
        <v>0</v>
      </c>
      <c r="K50" s="52">
        <f t="shared" si="1"/>
        <v>3278.29</v>
      </c>
      <c r="L50" s="17" t="s">
        <v>43</v>
      </c>
    </row>
    <row r="51" spans="1:12" s="7" customFormat="1" ht="132" customHeight="1">
      <c r="A51" s="15" t="s">
        <v>181</v>
      </c>
      <c r="B51" s="30" t="s">
        <v>214</v>
      </c>
      <c r="C51" s="19" t="s">
        <v>103</v>
      </c>
      <c r="D51" s="49" t="s">
        <v>37</v>
      </c>
      <c r="E51" s="49" t="s">
        <v>40</v>
      </c>
      <c r="F51" s="16" t="s">
        <v>207</v>
      </c>
      <c r="G51" s="16" t="s">
        <v>25</v>
      </c>
      <c r="H51" s="55">
        <v>805.47</v>
      </c>
      <c r="I51" s="55">
        <v>0</v>
      </c>
      <c r="J51" s="55">
        <v>0</v>
      </c>
      <c r="K51" s="52">
        <f>SUM(H51:J51)</f>
        <v>805.47</v>
      </c>
      <c r="L51" s="17"/>
    </row>
    <row r="52" spans="1:12" s="7" customFormat="1" ht="132" customHeight="1">
      <c r="A52" s="15" t="s">
        <v>182</v>
      </c>
      <c r="B52" s="24" t="s">
        <v>214</v>
      </c>
      <c r="C52" s="19" t="s">
        <v>103</v>
      </c>
      <c r="D52" s="49" t="s">
        <v>37</v>
      </c>
      <c r="E52" s="49" t="s">
        <v>40</v>
      </c>
      <c r="F52" s="16" t="s">
        <v>206</v>
      </c>
      <c r="G52" s="16" t="s">
        <v>25</v>
      </c>
      <c r="H52" s="55">
        <v>148.04</v>
      </c>
      <c r="I52" s="55">
        <v>0</v>
      </c>
      <c r="J52" s="55">
        <v>0</v>
      </c>
      <c r="K52" s="52">
        <f>SUM(H52:J52)</f>
        <v>148.04</v>
      </c>
      <c r="L52" s="17"/>
    </row>
    <row r="53" spans="1:12" s="7" customFormat="1" ht="149.25" customHeight="1">
      <c r="A53" s="15" t="s">
        <v>183</v>
      </c>
      <c r="B53" s="30" t="s">
        <v>215</v>
      </c>
      <c r="C53" s="19" t="s">
        <v>103</v>
      </c>
      <c r="D53" s="49" t="s">
        <v>37</v>
      </c>
      <c r="E53" s="49" t="s">
        <v>40</v>
      </c>
      <c r="F53" s="16" t="s">
        <v>203</v>
      </c>
      <c r="G53" s="16" t="s">
        <v>25</v>
      </c>
      <c r="H53" s="55">
        <v>9499.4</v>
      </c>
      <c r="I53" s="55">
        <v>28498.2</v>
      </c>
      <c r="J53" s="55">
        <v>28498.2</v>
      </c>
      <c r="K53" s="52">
        <f>SUM(H53:J53)</f>
        <v>66495.8</v>
      </c>
      <c r="L53" s="17"/>
    </row>
    <row r="54" spans="1:12" s="3" customFormat="1" ht="128.25" customHeight="1">
      <c r="A54" s="15" t="s">
        <v>223</v>
      </c>
      <c r="B54" s="16" t="s">
        <v>153</v>
      </c>
      <c r="C54" s="19" t="s">
        <v>103</v>
      </c>
      <c r="D54" s="16"/>
      <c r="E54" s="16"/>
      <c r="F54" s="16"/>
      <c r="G54" s="16"/>
      <c r="H54" s="55">
        <f>21968+767.22+493.21+424.88+64.01+515.7+15</f>
        <v>24248.02</v>
      </c>
      <c r="I54" s="55">
        <v>22735.22</v>
      </c>
      <c r="J54" s="55">
        <v>22735.22</v>
      </c>
      <c r="K54" s="52">
        <f t="shared" si="1"/>
        <v>69718.46</v>
      </c>
      <c r="L54" s="17"/>
    </row>
    <row r="55" spans="1:12" s="7" customFormat="1" ht="373.5" customHeight="1">
      <c r="A55" s="31" t="s">
        <v>194</v>
      </c>
      <c r="B55" s="16" t="s">
        <v>238</v>
      </c>
      <c r="C55" s="19" t="s">
        <v>103</v>
      </c>
      <c r="D55" s="49" t="s">
        <v>37</v>
      </c>
      <c r="E55" s="35" t="s">
        <v>137</v>
      </c>
      <c r="F55" s="35" t="s">
        <v>163</v>
      </c>
      <c r="G55" s="16" t="s">
        <v>45</v>
      </c>
      <c r="H55" s="51">
        <v>1200</v>
      </c>
      <c r="I55" s="51">
        <v>0</v>
      </c>
      <c r="J55" s="51">
        <v>0</v>
      </c>
      <c r="K55" s="52">
        <f t="shared" si="1"/>
        <v>1200</v>
      </c>
      <c r="L55" s="53" t="s">
        <v>147</v>
      </c>
    </row>
    <row r="56" spans="1:12" s="7" customFormat="1" ht="276.75" customHeight="1">
      <c r="A56" s="31" t="s">
        <v>195</v>
      </c>
      <c r="B56" s="56" t="s">
        <v>164</v>
      </c>
      <c r="C56" s="19" t="s">
        <v>103</v>
      </c>
      <c r="D56" s="49" t="s">
        <v>37</v>
      </c>
      <c r="E56" s="35" t="s">
        <v>137</v>
      </c>
      <c r="F56" s="35" t="s">
        <v>165</v>
      </c>
      <c r="G56" s="16" t="s">
        <v>45</v>
      </c>
      <c r="H56" s="51">
        <f>12+0.12</f>
        <v>12.12</v>
      </c>
      <c r="I56" s="51">
        <v>0</v>
      </c>
      <c r="J56" s="51">
        <v>0</v>
      </c>
      <c r="K56" s="52">
        <f>SUM(H56:J56)</f>
        <v>12.12</v>
      </c>
      <c r="L56" s="53" t="s">
        <v>147</v>
      </c>
    </row>
    <row r="57" spans="1:12" s="7" customFormat="1" ht="276.75" customHeight="1">
      <c r="A57" s="31" t="s">
        <v>224</v>
      </c>
      <c r="B57" s="56" t="s">
        <v>187</v>
      </c>
      <c r="C57" s="19" t="s">
        <v>103</v>
      </c>
      <c r="D57" s="49" t="s">
        <v>37</v>
      </c>
      <c r="E57" s="35" t="s">
        <v>137</v>
      </c>
      <c r="F57" s="35" t="s">
        <v>188</v>
      </c>
      <c r="G57" s="16" t="s">
        <v>45</v>
      </c>
      <c r="H57" s="51">
        <f>1872.9+19</f>
        <v>1891.9</v>
      </c>
      <c r="I57" s="51">
        <f>977.13+9.9</f>
        <v>987.03</v>
      </c>
      <c r="J57" s="51">
        <f>2035.82+20.6</f>
        <v>2056.42</v>
      </c>
      <c r="K57" s="52">
        <f>SUM(H57:J57)</f>
        <v>4935.35</v>
      </c>
      <c r="L57" s="53"/>
    </row>
    <row r="58" spans="1:12" s="7" customFormat="1" ht="276.75" customHeight="1">
      <c r="A58" s="31" t="s">
        <v>225</v>
      </c>
      <c r="B58" s="56" t="s">
        <v>189</v>
      </c>
      <c r="C58" s="19" t="s">
        <v>103</v>
      </c>
      <c r="D58" s="49" t="s">
        <v>37</v>
      </c>
      <c r="E58" s="35" t="s">
        <v>137</v>
      </c>
      <c r="F58" s="35" t="s">
        <v>190</v>
      </c>
      <c r="G58" s="16" t="s">
        <v>45</v>
      </c>
      <c r="H58" s="51">
        <v>0</v>
      </c>
      <c r="I58" s="51">
        <f>3861.69+39.1</f>
        <v>3900.79</v>
      </c>
      <c r="J58" s="51">
        <f>5689.39+57.5</f>
        <v>5746.89</v>
      </c>
      <c r="K58" s="52">
        <f>SUM(H58:J58)</f>
        <v>9647.68</v>
      </c>
      <c r="L58" s="53"/>
    </row>
    <row r="59" spans="1:12" s="7" customFormat="1" ht="135.75" customHeight="1">
      <c r="A59" s="31" t="s">
        <v>267</v>
      </c>
      <c r="B59" s="56" t="s">
        <v>241</v>
      </c>
      <c r="C59" s="19" t="s">
        <v>103</v>
      </c>
      <c r="D59" s="49" t="s">
        <v>37</v>
      </c>
      <c r="E59" s="35" t="s">
        <v>137</v>
      </c>
      <c r="F59" s="35" t="s">
        <v>240</v>
      </c>
      <c r="G59" s="16" t="s">
        <v>45</v>
      </c>
      <c r="H59" s="51">
        <f>3+6</f>
        <v>9</v>
      </c>
      <c r="I59" s="51">
        <v>3</v>
      </c>
      <c r="J59" s="51">
        <v>3</v>
      </c>
      <c r="K59" s="52">
        <f>SUM(H59:J59)</f>
        <v>15</v>
      </c>
      <c r="L59" s="53"/>
    </row>
    <row r="60" spans="1:12" s="7" customFormat="1" ht="162.75" customHeight="1">
      <c r="A60" s="31" t="s">
        <v>226</v>
      </c>
      <c r="B60" s="57" t="s">
        <v>191</v>
      </c>
      <c r="C60" s="19" t="s">
        <v>103</v>
      </c>
      <c r="D60" s="49" t="s">
        <v>37</v>
      </c>
      <c r="E60" s="41" t="s">
        <v>192</v>
      </c>
      <c r="F60" s="41" t="s">
        <v>193</v>
      </c>
      <c r="G60" s="16" t="s">
        <v>25</v>
      </c>
      <c r="H60" s="51">
        <v>7405.09</v>
      </c>
      <c r="I60" s="51"/>
      <c r="J60" s="51"/>
      <c r="K60" s="52">
        <f>SUM(H60:J60)</f>
        <v>7405.09</v>
      </c>
      <c r="L60" s="53"/>
    </row>
    <row r="61" spans="1:12" ht="132" customHeight="1">
      <c r="A61" s="46" t="s">
        <v>227</v>
      </c>
      <c r="B61" s="18" t="s">
        <v>136</v>
      </c>
      <c r="C61" s="19" t="s">
        <v>103</v>
      </c>
      <c r="D61" s="15" t="s">
        <v>37</v>
      </c>
      <c r="E61" s="41" t="s">
        <v>134</v>
      </c>
      <c r="F61" s="41" t="s">
        <v>142</v>
      </c>
      <c r="G61" s="16" t="s">
        <v>25</v>
      </c>
      <c r="H61" s="55">
        <v>1000</v>
      </c>
      <c r="I61" s="58"/>
      <c r="J61" s="58"/>
      <c r="K61" s="52">
        <f t="shared" si="1"/>
        <v>1000</v>
      </c>
      <c r="L61" s="53" t="s">
        <v>147</v>
      </c>
    </row>
    <row r="62" spans="1:12" ht="120.75" customHeight="1">
      <c r="A62" s="46" t="s">
        <v>228</v>
      </c>
      <c r="B62" s="18" t="s">
        <v>159</v>
      </c>
      <c r="C62" s="19" t="s">
        <v>103</v>
      </c>
      <c r="D62" s="15" t="s">
        <v>37</v>
      </c>
      <c r="E62" s="41" t="s">
        <v>134</v>
      </c>
      <c r="F62" s="41" t="s">
        <v>142</v>
      </c>
      <c r="G62" s="16" t="s">
        <v>25</v>
      </c>
      <c r="H62" s="58">
        <v>10</v>
      </c>
      <c r="I62" s="58">
        <v>10</v>
      </c>
      <c r="J62" s="58">
        <v>10</v>
      </c>
      <c r="K62" s="52">
        <f t="shared" si="1"/>
        <v>30</v>
      </c>
      <c r="L62" s="35"/>
    </row>
    <row r="63" spans="1:13" s="9" customFormat="1" ht="28.5" customHeight="1">
      <c r="A63" s="134" t="s">
        <v>15</v>
      </c>
      <c r="B63" s="135"/>
      <c r="C63" s="59"/>
      <c r="D63" s="59"/>
      <c r="E63" s="59"/>
      <c r="F63" s="59"/>
      <c r="G63" s="60"/>
      <c r="H63" s="61">
        <f>SUM(H41:H62)</f>
        <v>390312.44999999995</v>
      </c>
      <c r="I63" s="61">
        <f>SUM(I41:I62)</f>
        <v>389726.5200000001</v>
      </c>
      <c r="J63" s="61">
        <f>SUM(J41:J62)</f>
        <v>392612.91</v>
      </c>
      <c r="K63" s="61">
        <f>SUM(K41:K62)</f>
        <v>1172651.8800000001</v>
      </c>
      <c r="L63" s="61">
        <f>SUM(L41:L56)</f>
        <v>0</v>
      </c>
      <c r="M63" s="8"/>
    </row>
    <row r="64" spans="1:13" s="9" customFormat="1" ht="93.75" customHeight="1">
      <c r="A64" s="136" t="s">
        <v>22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8"/>
      <c r="M64" s="8"/>
    </row>
    <row r="65" spans="1:13" s="9" customFormat="1" ht="166.5" customHeight="1">
      <c r="A65" s="31" t="s">
        <v>23</v>
      </c>
      <c r="B65" s="93" t="s">
        <v>50</v>
      </c>
      <c r="C65" s="19" t="s">
        <v>103</v>
      </c>
      <c r="D65" s="49" t="s">
        <v>37</v>
      </c>
      <c r="E65" s="50" t="s">
        <v>127</v>
      </c>
      <c r="F65" s="50" t="s">
        <v>126</v>
      </c>
      <c r="G65" s="16" t="s">
        <v>25</v>
      </c>
      <c r="H65" s="94">
        <f>11259.05+11.64+321.58+132.25-426.41-1769.18+284.21+832.23</f>
        <v>10645.369999999997</v>
      </c>
      <c r="I65" s="94">
        <v>11259.05</v>
      </c>
      <c r="J65" s="94">
        <v>11259.05</v>
      </c>
      <c r="K65" s="62">
        <f aca="true" t="shared" si="2" ref="K65:K84">SUM(H65:J65)</f>
        <v>33163.47</v>
      </c>
      <c r="L65" s="95" t="s">
        <v>102</v>
      </c>
      <c r="M65" s="8"/>
    </row>
    <row r="66" spans="1:13" s="9" customFormat="1" ht="188.25" customHeight="1">
      <c r="A66" s="31" t="s">
        <v>242</v>
      </c>
      <c r="B66" s="93" t="s">
        <v>260</v>
      </c>
      <c r="C66" s="19" t="s">
        <v>103</v>
      </c>
      <c r="D66" s="49" t="s">
        <v>37</v>
      </c>
      <c r="E66" s="50" t="s">
        <v>127</v>
      </c>
      <c r="F66" s="50" t="s">
        <v>243</v>
      </c>
      <c r="G66" s="16" t="s">
        <v>25</v>
      </c>
      <c r="H66" s="94">
        <v>508.09</v>
      </c>
      <c r="I66" s="94">
        <v>0</v>
      </c>
      <c r="J66" s="94">
        <v>0</v>
      </c>
      <c r="K66" s="62">
        <f t="shared" si="2"/>
        <v>508.09</v>
      </c>
      <c r="L66" s="95" t="s">
        <v>102</v>
      </c>
      <c r="M66" s="8"/>
    </row>
    <row r="67" spans="1:13" s="9" customFormat="1" ht="166.5" customHeight="1">
      <c r="A67" s="31" t="s">
        <v>184</v>
      </c>
      <c r="B67" s="93" t="s">
        <v>258</v>
      </c>
      <c r="C67" s="19" t="s">
        <v>103</v>
      </c>
      <c r="D67" s="49" t="s">
        <v>37</v>
      </c>
      <c r="E67" s="50" t="s">
        <v>127</v>
      </c>
      <c r="F67" s="50" t="s">
        <v>244</v>
      </c>
      <c r="G67" s="16" t="s">
        <v>25</v>
      </c>
      <c r="H67" s="94">
        <f>1769.18-832.23</f>
        <v>936.95</v>
      </c>
      <c r="I67" s="94">
        <v>0</v>
      </c>
      <c r="J67" s="94">
        <v>0</v>
      </c>
      <c r="K67" s="62">
        <f t="shared" si="2"/>
        <v>936.95</v>
      </c>
      <c r="L67" s="95" t="s">
        <v>102</v>
      </c>
      <c r="M67" s="8"/>
    </row>
    <row r="68" spans="1:13" s="9" customFormat="1" ht="166.5" customHeight="1">
      <c r="A68" s="31" t="s">
        <v>128</v>
      </c>
      <c r="B68" s="93" t="s">
        <v>258</v>
      </c>
      <c r="C68" s="19" t="s">
        <v>103</v>
      </c>
      <c r="D68" s="49" t="s">
        <v>37</v>
      </c>
      <c r="E68" s="50" t="s">
        <v>127</v>
      </c>
      <c r="F68" s="50" t="s">
        <v>245</v>
      </c>
      <c r="G68" s="16" t="s">
        <v>25</v>
      </c>
      <c r="H68" s="94">
        <f>5300.9-1894.1</f>
        <v>3406.7999999999997</v>
      </c>
      <c r="I68" s="94">
        <v>0</v>
      </c>
      <c r="J68" s="94">
        <v>0</v>
      </c>
      <c r="K68" s="62">
        <f t="shared" si="2"/>
        <v>3406.7999999999997</v>
      </c>
      <c r="L68" s="95" t="s">
        <v>102</v>
      </c>
      <c r="M68" s="8"/>
    </row>
    <row r="69" spans="1:13" s="9" customFormat="1" ht="166.5" customHeight="1">
      <c r="A69" s="49" t="s">
        <v>264</v>
      </c>
      <c r="B69" s="54" t="s">
        <v>266</v>
      </c>
      <c r="C69" s="19" t="s">
        <v>103</v>
      </c>
      <c r="D69" s="49" t="s">
        <v>37</v>
      </c>
      <c r="E69" s="50" t="s">
        <v>127</v>
      </c>
      <c r="F69" s="50" t="s">
        <v>263</v>
      </c>
      <c r="G69" s="16" t="s">
        <v>45</v>
      </c>
      <c r="H69" s="94">
        <v>181</v>
      </c>
      <c r="I69" s="94">
        <v>0</v>
      </c>
      <c r="J69" s="94">
        <v>0</v>
      </c>
      <c r="K69" s="62">
        <f t="shared" si="2"/>
        <v>181</v>
      </c>
      <c r="L69" s="53"/>
      <c r="M69" s="8"/>
    </row>
    <row r="70" spans="1:13" s="9" customFormat="1" ht="130.5" customHeight="1">
      <c r="A70" s="15" t="s">
        <v>185</v>
      </c>
      <c r="B70" s="24" t="s">
        <v>167</v>
      </c>
      <c r="C70" s="19" t="s">
        <v>103</v>
      </c>
      <c r="D70" s="15" t="s">
        <v>37</v>
      </c>
      <c r="E70" s="15" t="s">
        <v>169</v>
      </c>
      <c r="F70" s="20" t="s">
        <v>166</v>
      </c>
      <c r="G70" s="27" t="s">
        <v>25</v>
      </c>
      <c r="H70" s="21">
        <v>867.81</v>
      </c>
      <c r="I70" s="21"/>
      <c r="J70" s="21"/>
      <c r="K70" s="22">
        <f t="shared" si="2"/>
        <v>867.81</v>
      </c>
      <c r="L70" s="16"/>
      <c r="M70" s="8"/>
    </row>
    <row r="71" spans="1:13" s="9" customFormat="1" ht="130.5" customHeight="1">
      <c r="A71" s="63" t="s">
        <v>186</v>
      </c>
      <c r="B71" s="24" t="s">
        <v>214</v>
      </c>
      <c r="C71" s="19" t="s">
        <v>103</v>
      </c>
      <c r="D71" s="15" t="s">
        <v>37</v>
      </c>
      <c r="E71" s="15" t="s">
        <v>169</v>
      </c>
      <c r="F71" s="20" t="s">
        <v>204</v>
      </c>
      <c r="G71" s="27" t="s">
        <v>25</v>
      </c>
      <c r="H71" s="21">
        <f>202.51+118.38+227.18-115.71+45.59</f>
        <v>477.94999999999993</v>
      </c>
      <c r="I71" s="21"/>
      <c r="J71" s="21"/>
      <c r="K71" s="22">
        <f t="shared" si="2"/>
        <v>477.94999999999993</v>
      </c>
      <c r="L71" s="90"/>
      <c r="M71" s="8"/>
    </row>
    <row r="72" spans="1:13" s="9" customFormat="1" ht="144" customHeight="1">
      <c r="A72" s="63" t="s">
        <v>129</v>
      </c>
      <c r="B72" s="24" t="s">
        <v>261</v>
      </c>
      <c r="C72" s="19" t="s">
        <v>103</v>
      </c>
      <c r="D72" s="15" t="s">
        <v>37</v>
      </c>
      <c r="E72" s="15" t="s">
        <v>169</v>
      </c>
      <c r="F72" s="20" t="s">
        <v>248</v>
      </c>
      <c r="G72" s="27" t="s">
        <v>25</v>
      </c>
      <c r="H72" s="21">
        <f>115.71-45.58</f>
        <v>70.13</v>
      </c>
      <c r="I72" s="21"/>
      <c r="J72" s="21"/>
      <c r="K72" s="22">
        <f t="shared" si="2"/>
        <v>70.13</v>
      </c>
      <c r="L72" s="90"/>
      <c r="M72" s="8"/>
    </row>
    <row r="73" spans="1:13" s="9" customFormat="1" ht="130.5" customHeight="1">
      <c r="A73" s="63" t="s">
        <v>229</v>
      </c>
      <c r="B73" s="24" t="s">
        <v>214</v>
      </c>
      <c r="C73" s="19" t="s">
        <v>103</v>
      </c>
      <c r="D73" s="15" t="s">
        <v>37</v>
      </c>
      <c r="E73" s="15" t="s">
        <v>169</v>
      </c>
      <c r="F73" s="20" t="s">
        <v>205</v>
      </c>
      <c r="G73" s="27" t="s">
        <v>25</v>
      </c>
      <c r="H73" s="21">
        <f>121.24+30.08-69.21+27.53</f>
        <v>109.64</v>
      </c>
      <c r="I73" s="21"/>
      <c r="J73" s="21"/>
      <c r="K73" s="22">
        <f t="shared" si="2"/>
        <v>109.64</v>
      </c>
      <c r="L73" s="90"/>
      <c r="M73" s="8"/>
    </row>
    <row r="74" spans="1:13" s="9" customFormat="1" ht="160.5" customHeight="1">
      <c r="A74" s="63" t="s">
        <v>230</v>
      </c>
      <c r="B74" s="24" t="s">
        <v>261</v>
      </c>
      <c r="C74" s="19" t="s">
        <v>103</v>
      </c>
      <c r="D74" s="15" t="s">
        <v>37</v>
      </c>
      <c r="E74" s="15" t="s">
        <v>169</v>
      </c>
      <c r="F74" s="20" t="s">
        <v>247</v>
      </c>
      <c r="G74" s="27" t="s">
        <v>25</v>
      </c>
      <c r="H74" s="21">
        <f>69.21-27.54</f>
        <v>41.669999999999995</v>
      </c>
      <c r="I74" s="21"/>
      <c r="J74" s="21"/>
      <c r="K74" s="22">
        <f t="shared" si="2"/>
        <v>41.669999999999995</v>
      </c>
      <c r="L74" s="90"/>
      <c r="M74" s="8"/>
    </row>
    <row r="75" spans="1:13" s="9" customFormat="1" ht="130.5" customHeight="1">
      <c r="A75" s="63" t="s">
        <v>231</v>
      </c>
      <c r="B75" s="24" t="s">
        <v>214</v>
      </c>
      <c r="C75" s="19" t="s">
        <v>103</v>
      </c>
      <c r="D75" s="15" t="s">
        <v>37</v>
      </c>
      <c r="E75" s="15" t="s">
        <v>169</v>
      </c>
      <c r="F75" s="20" t="s">
        <v>208</v>
      </c>
      <c r="G75" s="27" t="s">
        <v>25</v>
      </c>
      <c r="H75" s="21">
        <v>64.62</v>
      </c>
      <c r="I75" s="21"/>
      <c r="J75" s="21"/>
      <c r="K75" s="22">
        <f t="shared" si="2"/>
        <v>64.62</v>
      </c>
      <c r="L75" s="90"/>
      <c r="M75" s="8"/>
    </row>
    <row r="76" spans="1:13" s="9" customFormat="1" ht="150" customHeight="1">
      <c r="A76" s="31" t="s">
        <v>232</v>
      </c>
      <c r="B76" s="93" t="s">
        <v>50</v>
      </c>
      <c r="C76" s="19" t="s">
        <v>103</v>
      </c>
      <c r="D76" s="49" t="s">
        <v>37</v>
      </c>
      <c r="E76" s="50" t="s">
        <v>88</v>
      </c>
      <c r="F76" s="50" t="s">
        <v>170</v>
      </c>
      <c r="G76" s="16" t="s">
        <v>25</v>
      </c>
      <c r="H76" s="94">
        <f>14773.04-11.07-5300.9+1894.1</f>
        <v>11355.170000000002</v>
      </c>
      <c r="I76" s="94">
        <v>14773.04</v>
      </c>
      <c r="J76" s="94">
        <v>14773.04</v>
      </c>
      <c r="K76" s="62">
        <f t="shared" si="2"/>
        <v>40901.25</v>
      </c>
      <c r="L76" s="95" t="s">
        <v>102</v>
      </c>
      <c r="M76" s="8"/>
    </row>
    <row r="77" spans="1:13" s="9" customFormat="1" ht="150" customHeight="1">
      <c r="A77" s="31" t="s">
        <v>250</v>
      </c>
      <c r="B77" s="96" t="s">
        <v>50</v>
      </c>
      <c r="C77" s="19" t="s">
        <v>103</v>
      </c>
      <c r="D77" s="49" t="s">
        <v>37</v>
      </c>
      <c r="E77" s="50" t="s">
        <v>88</v>
      </c>
      <c r="F77" s="50" t="s">
        <v>171</v>
      </c>
      <c r="G77" s="16" t="s">
        <v>25</v>
      </c>
      <c r="H77" s="94">
        <f>517.79+11.07</f>
        <v>528.86</v>
      </c>
      <c r="I77" s="94">
        <v>517.79</v>
      </c>
      <c r="J77" s="94">
        <v>517.79</v>
      </c>
      <c r="K77" s="62">
        <f t="shared" si="2"/>
        <v>1564.44</v>
      </c>
      <c r="L77" s="97" t="s">
        <v>102</v>
      </c>
      <c r="M77" s="8"/>
    </row>
    <row r="78" spans="1:12" ht="231.75" customHeight="1">
      <c r="A78" s="31" t="s">
        <v>251</v>
      </c>
      <c r="B78" s="29" t="s">
        <v>53</v>
      </c>
      <c r="C78" s="19" t="s">
        <v>103</v>
      </c>
      <c r="D78" s="31" t="s">
        <v>37</v>
      </c>
      <c r="E78" s="63" t="s">
        <v>89</v>
      </c>
      <c r="F78" s="16" t="s">
        <v>114</v>
      </c>
      <c r="G78" s="16" t="s">
        <v>25</v>
      </c>
      <c r="H78" s="21">
        <f>11185.36-121.67-64.61-30.09-48.15-81.69-1796.45+0.01+757.52</f>
        <v>9800.23</v>
      </c>
      <c r="I78" s="21">
        <v>11185.36</v>
      </c>
      <c r="J78" s="21">
        <v>11185.36</v>
      </c>
      <c r="K78" s="62">
        <f t="shared" si="2"/>
        <v>32170.95</v>
      </c>
      <c r="L78" s="17" t="s">
        <v>44</v>
      </c>
    </row>
    <row r="79" spans="1:12" ht="231.75" customHeight="1">
      <c r="A79" s="31" t="s">
        <v>252</v>
      </c>
      <c r="B79" s="29" t="s">
        <v>259</v>
      </c>
      <c r="C79" s="19" t="s">
        <v>103</v>
      </c>
      <c r="D79" s="31" t="s">
        <v>37</v>
      </c>
      <c r="E79" s="63" t="s">
        <v>89</v>
      </c>
      <c r="F79" s="16" t="s">
        <v>246</v>
      </c>
      <c r="G79" s="16" t="s">
        <v>25</v>
      </c>
      <c r="H79" s="21">
        <f>1796.45-757.52</f>
        <v>1038.93</v>
      </c>
      <c r="I79" s="21">
        <f>11185.36-11185.36</f>
        <v>0</v>
      </c>
      <c r="J79" s="21">
        <f>11185.36-11185.36</f>
        <v>0</v>
      </c>
      <c r="K79" s="62">
        <f t="shared" si="2"/>
        <v>1038.93</v>
      </c>
      <c r="L79" s="17" t="s">
        <v>44</v>
      </c>
    </row>
    <row r="80" spans="1:12" ht="231.75" customHeight="1">
      <c r="A80" s="31" t="s">
        <v>253</v>
      </c>
      <c r="B80" s="29" t="s">
        <v>53</v>
      </c>
      <c r="C80" s="19" t="s">
        <v>103</v>
      </c>
      <c r="D80" s="31" t="s">
        <v>37</v>
      </c>
      <c r="E80" s="63" t="s">
        <v>89</v>
      </c>
      <c r="F80" s="16" t="s">
        <v>211</v>
      </c>
      <c r="G80" s="16" t="s">
        <v>25</v>
      </c>
      <c r="H80" s="21">
        <f>130.2-130.2</f>
        <v>0</v>
      </c>
      <c r="I80" s="21">
        <v>0</v>
      </c>
      <c r="J80" s="21">
        <v>0</v>
      </c>
      <c r="K80" s="62">
        <f t="shared" si="2"/>
        <v>0</v>
      </c>
      <c r="L80" s="17" t="s">
        <v>44</v>
      </c>
    </row>
    <row r="81" spans="1:12" s="8" customFormat="1" ht="126" customHeight="1">
      <c r="A81" s="31" t="s">
        <v>254</v>
      </c>
      <c r="B81" s="53" t="s">
        <v>57</v>
      </c>
      <c r="C81" s="19" t="s">
        <v>103</v>
      </c>
      <c r="D81" s="31" t="s">
        <v>37</v>
      </c>
      <c r="E81" s="63" t="s">
        <v>90</v>
      </c>
      <c r="F81" s="16" t="s">
        <v>115</v>
      </c>
      <c r="G81" s="16" t="s">
        <v>25</v>
      </c>
      <c r="H81" s="64">
        <v>27</v>
      </c>
      <c r="I81" s="64">
        <v>27</v>
      </c>
      <c r="J81" s="64">
        <v>27</v>
      </c>
      <c r="K81" s="62">
        <f t="shared" si="2"/>
        <v>81</v>
      </c>
      <c r="L81" s="53" t="s">
        <v>36</v>
      </c>
    </row>
    <row r="82" spans="1:12" ht="129.75" customHeight="1">
      <c r="A82" s="31" t="s">
        <v>255</v>
      </c>
      <c r="B82" s="92" t="s">
        <v>99</v>
      </c>
      <c r="C82" s="19" t="s">
        <v>103</v>
      </c>
      <c r="D82" s="31" t="s">
        <v>37</v>
      </c>
      <c r="E82" s="63" t="s">
        <v>90</v>
      </c>
      <c r="F82" s="20" t="s">
        <v>196</v>
      </c>
      <c r="G82" s="16" t="s">
        <v>25</v>
      </c>
      <c r="H82" s="64">
        <f>1595.5-402.82+177.28</f>
        <v>1369.96</v>
      </c>
      <c r="I82" s="64">
        <v>0</v>
      </c>
      <c r="J82" s="64">
        <v>0</v>
      </c>
      <c r="K82" s="62">
        <f t="shared" si="2"/>
        <v>1369.96</v>
      </c>
      <c r="L82" s="53" t="s">
        <v>106</v>
      </c>
    </row>
    <row r="83" spans="1:12" ht="234" customHeight="1">
      <c r="A83" s="31" t="s">
        <v>256</v>
      </c>
      <c r="B83" s="92" t="s">
        <v>262</v>
      </c>
      <c r="C83" s="19" t="s">
        <v>103</v>
      </c>
      <c r="D83" s="31" t="s">
        <v>37</v>
      </c>
      <c r="E83" s="63" t="s">
        <v>90</v>
      </c>
      <c r="F83" s="20" t="s">
        <v>249</v>
      </c>
      <c r="G83" s="16" t="s">
        <v>25</v>
      </c>
      <c r="H83" s="64">
        <f>402.82-177.28</f>
        <v>225.54</v>
      </c>
      <c r="I83" s="64">
        <v>0</v>
      </c>
      <c r="J83" s="64">
        <v>0</v>
      </c>
      <c r="K83" s="62">
        <f t="shared" si="2"/>
        <v>225.54</v>
      </c>
      <c r="L83" s="53" t="s">
        <v>106</v>
      </c>
    </row>
    <row r="84" spans="1:13" ht="103.5" customHeight="1">
      <c r="A84" s="31" t="s">
        <v>265</v>
      </c>
      <c r="B84" s="53" t="s">
        <v>154</v>
      </c>
      <c r="C84" s="19" t="s">
        <v>103</v>
      </c>
      <c r="D84" s="31" t="s">
        <v>37</v>
      </c>
      <c r="E84" s="31"/>
      <c r="F84" s="91"/>
      <c r="G84" s="90"/>
      <c r="H84" s="64">
        <f>1602.08+1033.78+395.3+150</f>
        <v>3181.16</v>
      </c>
      <c r="I84" s="64">
        <v>1602.08</v>
      </c>
      <c r="J84" s="64">
        <v>1602.08</v>
      </c>
      <c r="K84" s="62">
        <f t="shared" si="2"/>
        <v>6385.32</v>
      </c>
      <c r="L84" s="53"/>
      <c r="M84" s="6"/>
    </row>
    <row r="85" spans="1:12" s="8" customFormat="1" ht="36.75" customHeight="1">
      <c r="A85" s="65"/>
      <c r="B85" s="66" t="s">
        <v>27</v>
      </c>
      <c r="C85" s="66"/>
      <c r="D85" s="67"/>
      <c r="E85" s="67"/>
      <c r="F85" s="67"/>
      <c r="G85" s="67"/>
      <c r="H85" s="98">
        <f>SUM(H65:H84)</f>
        <v>44836.87999999999</v>
      </c>
      <c r="I85" s="98">
        <f>SUM(I65:I84)</f>
        <v>39364.32000000001</v>
      </c>
      <c r="J85" s="98">
        <f>SUM(J65:J84)</f>
        <v>39364.32000000001</v>
      </c>
      <c r="K85" s="98">
        <f>SUM(K65:K84)</f>
        <v>123565.51999999999</v>
      </c>
      <c r="L85" s="66"/>
    </row>
    <row r="86" spans="1:12" s="8" customFormat="1" ht="150" customHeight="1">
      <c r="A86" s="120" t="s">
        <v>32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2"/>
    </row>
    <row r="87" spans="1:12" s="8" customFormat="1" ht="246" customHeight="1">
      <c r="A87" s="31" t="s">
        <v>81</v>
      </c>
      <c r="B87" s="34" t="s">
        <v>200</v>
      </c>
      <c r="C87" s="19" t="s">
        <v>103</v>
      </c>
      <c r="D87" s="49" t="s">
        <v>37</v>
      </c>
      <c r="E87" s="50" t="s">
        <v>199</v>
      </c>
      <c r="F87" s="35" t="s">
        <v>116</v>
      </c>
      <c r="G87" s="16" t="s">
        <v>25</v>
      </c>
      <c r="H87" s="23">
        <f>1200-334.4-210.06</f>
        <v>655.54</v>
      </c>
      <c r="I87" s="23">
        <v>1200</v>
      </c>
      <c r="J87" s="23">
        <v>1200</v>
      </c>
      <c r="K87" s="68">
        <f aca="true" t="shared" si="3" ref="K87:K94">SUM(H87:J87)</f>
        <v>3055.54</v>
      </c>
      <c r="L87" s="69" t="s">
        <v>155</v>
      </c>
    </row>
    <row r="88" spans="1:12" s="8" customFormat="1" ht="241.5" customHeight="1">
      <c r="A88" s="31" t="s">
        <v>82</v>
      </c>
      <c r="B88" s="34" t="s">
        <v>95</v>
      </c>
      <c r="C88" s="19" t="s">
        <v>103</v>
      </c>
      <c r="D88" s="49" t="s">
        <v>37</v>
      </c>
      <c r="E88" s="50" t="s">
        <v>138</v>
      </c>
      <c r="F88" s="35" t="s">
        <v>117</v>
      </c>
      <c r="G88" s="16" t="s">
        <v>25</v>
      </c>
      <c r="H88" s="21">
        <f>1200+725-487.98</f>
        <v>1437.02</v>
      </c>
      <c r="I88" s="21">
        <v>1200</v>
      </c>
      <c r="J88" s="21">
        <v>1200</v>
      </c>
      <c r="K88" s="68">
        <f t="shared" si="3"/>
        <v>3837.02</v>
      </c>
      <c r="L88" s="69" t="s">
        <v>156</v>
      </c>
    </row>
    <row r="89" spans="1:12" s="8" customFormat="1" ht="241.5" customHeight="1">
      <c r="A89" s="31" t="s">
        <v>233</v>
      </c>
      <c r="B89" s="35" t="s">
        <v>239</v>
      </c>
      <c r="C89" s="19" t="s">
        <v>103</v>
      </c>
      <c r="D89" s="49" t="s">
        <v>37</v>
      </c>
      <c r="E89" s="49" t="s">
        <v>40</v>
      </c>
      <c r="F89" s="35" t="s">
        <v>236</v>
      </c>
      <c r="G89" s="16" t="s">
        <v>25</v>
      </c>
      <c r="H89" s="70">
        <v>2235.46</v>
      </c>
      <c r="I89" s="70">
        <v>0</v>
      </c>
      <c r="J89" s="70">
        <v>0</v>
      </c>
      <c r="K89" s="68">
        <f>SUM(H89:J89)</f>
        <v>2235.46</v>
      </c>
      <c r="L89" s="69" t="s">
        <v>237</v>
      </c>
    </row>
    <row r="90" spans="1:12" s="8" customFormat="1" ht="241.5" customHeight="1">
      <c r="A90" s="31" t="s">
        <v>139</v>
      </c>
      <c r="B90" s="34" t="s">
        <v>216</v>
      </c>
      <c r="C90" s="19" t="s">
        <v>103</v>
      </c>
      <c r="D90" s="49" t="s">
        <v>37</v>
      </c>
      <c r="E90" s="49" t="s">
        <v>40</v>
      </c>
      <c r="F90" s="35" t="s">
        <v>212</v>
      </c>
      <c r="G90" s="16" t="s">
        <v>25</v>
      </c>
      <c r="H90" s="70">
        <v>22.58</v>
      </c>
      <c r="I90" s="70">
        <v>0</v>
      </c>
      <c r="J90" s="70">
        <v>0</v>
      </c>
      <c r="K90" s="68">
        <f>SUM(H90:J90)</f>
        <v>22.58</v>
      </c>
      <c r="L90" s="69" t="s">
        <v>237</v>
      </c>
    </row>
    <row r="91" spans="1:12" s="8" customFormat="1" ht="241.5" customHeight="1">
      <c r="A91" s="31" t="s">
        <v>132</v>
      </c>
      <c r="B91" s="54" t="s">
        <v>217</v>
      </c>
      <c r="C91" s="19" t="s">
        <v>103</v>
      </c>
      <c r="D91" s="49" t="s">
        <v>37</v>
      </c>
      <c r="E91" s="49" t="s">
        <v>40</v>
      </c>
      <c r="F91" s="35" t="s">
        <v>201</v>
      </c>
      <c r="G91" s="16" t="s">
        <v>25</v>
      </c>
      <c r="H91" s="70">
        <v>3000</v>
      </c>
      <c r="I91" s="70">
        <v>0</v>
      </c>
      <c r="J91" s="70">
        <v>0</v>
      </c>
      <c r="K91" s="68">
        <f t="shared" si="3"/>
        <v>3000</v>
      </c>
      <c r="L91" s="69" t="s">
        <v>148</v>
      </c>
    </row>
    <row r="92" spans="1:12" s="8" customFormat="1" ht="246" customHeight="1">
      <c r="A92" s="31" t="s">
        <v>234</v>
      </c>
      <c r="B92" s="54" t="s">
        <v>60</v>
      </c>
      <c r="C92" s="19" t="s">
        <v>103</v>
      </c>
      <c r="D92" s="49" t="s">
        <v>37</v>
      </c>
      <c r="E92" s="49" t="s">
        <v>40</v>
      </c>
      <c r="F92" s="35" t="s">
        <v>105</v>
      </c>
      <c r="G92" s="16" t="s">
        <v>25</v>
      </c>
      <c r="H92" s="70">
        <f>90.3-22.58</f>
        <v>67.72</v>
      </c>
      <c r="I92" s="70">
        <v>90.3</v>
      </c>
      <c r="J92" s="70">
        <v>90.3</v>
      </c>
      <c r="K92" s="68">
        <f t="shared" si="3"/>
        <v>248.32</v>
      </c>
      <c r="L92" s="69" t="s">
        <v>148</v>
      </c>
    </row>
    <row r="93" spans="1:12" ht="236.25">
      <c r="A93" s="31" t="s">
        <v>235</v>
      </c>
      <c r="B93" s="34" t="s">
        <v>197</v>
      </c>
      <c r="C93" s="19" t="s">
        <v>103</v>
      </c>
      <c r="D93" s="49" t="s">
        <v>37</v>
      </c>
      <c r="E93" s="49" t="s">
        <v>40</v>
      </c>
      <c r="F93" s="35" t="s">
        <v>118</v>
      </c>
      <c r="G93" s="16" t="s">
        <v>25</v>
      </c>
      <c r="H93" s="23">
        <v>1815</v>
      </c>
      <c r="I93" s="23">
        <v>2117.5</v>
      </c>
      <c r="J93" s="23">
        <v>2420</v>
      </c>
      <c r="K93" s="68">
        <f t="shared" si="3"/>
        <v>6352.5</v>
      </c>
      <c r="L93" s="34" t="s">
        <v>46</v>
      </c>
    </row>
    <row r="94" spans="1:13" ht="162" customHeight="1">
      <c r="A94" s="31" t="s">
        <v>257</v>
      </c>
      <c r="B94" s="34" t="s">
        <v>198</v>
      </c>
      <c r="C94" s="19" t="s">
        <v>103</v>
      </c>
      <c r="D94" s="49" t="s">
        <v>37</v>
      </c>
      <c r="E94" s="49" t="s">
        <v>40</v>
      </c>
      <c r="F94" s="35" t="s">
        <v>133</v>
      </c>
      <c r="G94" s="16" t="s">
        <v>25</v>
      </c>
      <c r="H94" s="23">
        <f>18.15+0.18</f>
        <v>18.33</v>
      </c>
      <c r="I94" s="23">
        <v>18.15</v>
      </c>
      <c r="J94" s="23">
        <v>18.15</v>
      </c>
      <c r="K94" s="68">
        <f t="shared" si="3"/>
        <v>54.629999999999995</v>
      </c>
      <c r="L94" s="34" t="s">
        <v>46</v>
      </c>
      <c r="M94" s="6"/>
    </row>
    <row r="95" spans="1:12" ht="42" customHeight="1">
      <c r="A95" s="66"/>
      <c r="B95" s="66" t="s">
        <v>41</v>
      </c>
      <c r="C95" s="66"/>
      <c r="D95" s="66"/>
      <c r="E95" s="66"/>
      <c r="F95" s="66"/>
      <c r="G95" s="66"/>
      <c r="H95" s="71">
        <f>SUM(H87:H94)</f>
        <v>9251.65</v>
      </c>
      <c r="I95" s="71">
        <f>SUM(I87:I94)</f>
        <v>4625.95</v>
      </c>
      <c r="J95" s="71">
        <f>SUM(J87:J94)</f>
        <v>4928.45</v>
      </c>
      <c r="K95" s="71">
        <f>SUM(K87:K94)</f>
        <v>18806.05</v>
      </c>
      <c r="L95" s="71">
        <f>SUM(L87:L94)</f>
        <v>0</v>
      </c>
    </row>
    <row r="96" spans="1:12" ht="183.75" customHeight="1">
      <c r="A96" s="120" t="s">
        <v>157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2"/>
    </row>
    <row r="97" spans="1:12" s="8" customFormat="1" ht="130.5" customHeight="1">
      <c r="A97" s="72" t="s">
        <v>83</v>
      </c>
      <c r="B97" s="73" t="s">
        <v>28</v>
      </c>
      <c r="C97" s="19" t="s">
        <v>103</v>
      </c>
      <c r="D97" s="49" t="s">
        <v>37</v>
      </c>
      <c r="E97" s="49" t="s">
        <v>40</v>
      </c>
      <c r="F97" s="74" t="s">
        <v>101</v>
      </c>
      <c r="G97" s="16" t="s">
        <v>25</v>
      </c>
      <c r="H97" s="36"/>
      <c r="I97" s="36"/>
      <c r="J97" s="36"/>
      <c r="K97" s="37">
        <f>SUM(H97:J97)</f>
        <v>0</v>
      </c>
      <c r="L97" s="73" t="s">
        <v>84</v>
      </c>
    </row>
    <row r="98" spans="1:12" ht="53.25" customHeight="1">
      <c r="A98" s="66"/>
      <c r="B98" s="66" t="s">
        <v>34</v>
      </c>
      <c r="C98" s="66"/>
      <c r="D98" s="66"/>
      <c r="E98" s="66"/>
      <c r="F98" s="66"/>
      <c r="G98" s="66"/>
      <c r="H98" s="71">
        <f>SUM(H97:H97)</f>
        <v>0</v>
      </c>
      <c r="I98" s="71">
        <f>SUM(I97:I97)</f>
        <v>0</v>
      </c>
      <c r="J98" s="71">
        <f>SUM(J97:J97)</f>
        <v>0</v>
      </c>
      <c r="K98" s="71">
        <f>SUM(K97:K97)</f>
        <v>0</v>
      </c>
      <c r="L98" s="66"/>
    </row>
    <row r="99" spans="1:12" ht="91.5" customHeight="1">
      <c r="A99" s="120" t="s">
        <v>87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2"/>
    </row>
    <row r="100" spans="1:12" ht="94.5">
      <c r="A100" s="75" t="s">
        <v>85</v>
      </c>
      <c r="B100" s="73" t="s">
        <v>29</v>
      </c>
      <c r="C100" s="19" t="s">
        <v>103</v>
      </c>
      <c r="D100" s="31" t="s">
        <v>37</v>
      </c>
      <c r="E100" s="31" t="s">
        <v>40</v>
      </c>
      <c r="F100" s="46" t="s">
        <v>35</v>
      </c>
      <c r="G100" s="16" t="s">
        <v>25</v>
      </c>
      <c r="H100" s="21">
        <v>0</v>
      </c>
      <c r="I100" s="21">
        <v>0</v>
      </c>
      <c r="J100" s="21"/>
      <c r="K100" s="22">
        <f>SUM(H100:J100)</f>
        <v>0</v>
      </c>
      <c r="L100" s="73" t="s">
        <v>30</v>
      </c>
    </row>
    <row r="101" spans="1:12" ht="59.25" customHeight="1">
      <c r="A101" s="76" t="s">
        <v>86</v>
      </c>
      <c r="B101" s="69" t="s">
        <v>31</v>
      </c>
      <c r="C101" s="19" t="s">
        <v>103</v>
      </c>
      <c r="D101" s="31" t="s">
        <v>37</v>
      </c>
      <c r="E101" s="76"/>
      <c r="F101" s="76"/>
      <c r="G101" s="76" t="s">
        <v>0</v>
      </c>
      <c r="H101" s="77"/>
      <c r="I101" s="77"/>
      <c r="J101" s="77"/>
      <c r="K101" s="22">
        <f>SUM(H101:J101)</f>
        <v>0</v>
      </c>
      <c r="L101" s="69" t="s">
        <v>158</v>
      </c>
    </row>
    <row r="102" spans="1:12" ht="31.5" customHeight="1">
      <c r="A102" s="60"/>
      <c r="B102" s="78" t="s">
        <v>33</v>
      </c>
      <c r="C102" s="78"/>
      <c r="D102" s="60"/>
      <c r="E102" s="60"/>
      <c r="F102" s="60"/>
      <c r="G102" s="60"/>
      <c r="H102" s="61">
        <f>SUM(H100:H101)</f>
        <v>0</v>
      </c>
      <c r="I102" s="61">
        <f>SUM(I100:I101)</f>
        <v>0</v>
      </c>
      <c r="J102" s="61">
        <f>SUM(J100:J101)</f>
        <v>0</v>
      </c>
      <c r="K102" s="61">
        <f>SUM(K100:K101)</f>
        <v>0</v>
      </c>
      <c r="L102" s="60"/>
    </row>
    <row r="103" spans="1:12" ht="15.75">
      <c r="A103" s="79"/>
      <c r="B103" s="60" t="s">
        <v>16</v>
      </c>
      <c r="C103" s="60"/>
      <c r="D103" s="60"/>
      <c r="E103" s="60"/>
      <c r="F103" s="60"/>
      <c r="G103" s="60"/>
      <c r="H103" s="61">
        <f>H28+H31+H35+H39+H63+H85+H95+H98+H102</f>
        <v>812799.77</v>
      </c>
      <c r="I103" s="61">
        <f>I28+I31+I35+I39+I63+I85+I95+I98+I102</f>
        <v>791905.53</v>
      </c>
      <c r="J103" s="61">
        <f>J28+J31+J35+J39+J63+J85+J95+J98+J102</f>
        <v>795094.4199999999</v>
      </c>
      <c r="K103" s="61">
        <f>K28+K31+K35+K39+K63+K85+K95+K98+K102</f>
        <v>2399799.72</v>
      </c>
      <c r="L103" s="60"/>
    </row>
    <row r="104" spans="1:12" ht="15.75" hidden="1">
      <c r="A104" s="80"/>
      <c r="B104" s="80" t="s">
        <v>161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80"/>
    </row>
    <row r="105" spans="1:12" ht="15">
      <c r="A105" s="81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</row>
    <row r="106" spans="1:12" ht="15.75">
      <c r="A106" s="81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</row>
    <row r="107" spans="1:12" ht="15">
      <c r="A107" s="81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</row>
    <row r="108" spans="1:12" ht="15">
      <c r="A108" s="81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</row>
  </sheetData>
  <sheetProtection/>
  <mergeCells count="30">
    <mergeCell ref="A99:L99"/>
    <mergeCell ref="B106:L106"/>
    <mergeCell ref="A29:L29"/>
    <mergeCell ref="A28:C28"/>
    <mergeCell ref="A36:L36"/>
    <mergeCell ref="A40:L40"/>
    <mergeCell ref="A63:B63"/>
    <mergeCell ref="A64:L64"/>
    <mergeCell ref="A86:L86"/>
    <mergeCell ref="A96:L96"/>
    <mergeCell ref="A32:L32"/>
    <mergeCell ref="A15:L15"/>
    <mergeCell ref="A11:L11"/>
    <mergeCell ref="K12:K13"/>
    <mergeCell ref="H12:J12"/>
    <mergeCell ref="A9:M9"/>
    <mergeCell ref="F2:L2"/>
    <mergeCell ref="A1:L1"/>
    <mergeCell ref="A14:L14"/>
    <mergeCell ref="B12:B13"/>
    <mergeCell ref="L12:L13"/>
    <mergeCell ref="A12:A13"/>
    <mergeCell ref="D12:G12"/>
    <mergeCell ref="A10:L10"/>
    <mergeCell ref="A3:M3"/>
    <mergeCell ref="A4:M4"/>
    <mergeCell ref="A5:M5"/>
    <mergeCell ref="A6:M6"/>
    <mergeCell ref="A7:M7"/>
    <mergeCell ref="A8:M8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scale="51" r:id="rId1"/>
  <rowBreaks count="2" manualBreakCount="2">
    <brk id="40" max="12" man="1"/>
    <brk id="4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2020-09-03T06:25:48Z</cp:lastPrinted>
  <dcterms:created xsi:type="dcterms:W3CDTF">2010-09-05T13:57:35Z</dcterms:created>
  <dcterms:modified xsi:type="dcterms:W3CDTF">2020-09-03T06:25:50Z</dcterms:modified>
  <cp:category/>
  <cp:version/>
  <cp:contentType/>
  <cp:contentStatus/>
</cp:coreProperties>
</file>