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7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<sst xmlns="http://schemas.openxmlformats.org/spreadsheetml/2006/main" count="1124" uniqueCount="268">
  <si>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</si>
  <si>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</si>
  <si>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</si>
  <si>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</si>
  <si>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</si>
  <si>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</si>
  <si>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</si>
  <si>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</si>
  <si>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</si>
  <si>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</si>
  <si>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</si>
  <si>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</si>
  <si>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</si>
  <si>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</si>
  <si>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</si>
  <si>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</si>
  <si>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</si>
  <si>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</si>
  <si>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</si>
  <si>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</si>
  <si>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</si>
  <si>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</si>
  <si>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</si>
  <si>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</si>
  <si>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</si>
  <si>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</si>
  <si>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</si>
  <si>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</si>
  <si>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</si>
  <si>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</si>
  <si>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</si>
  <si>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</si>
  <si>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</si>
  <si>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</si>
  <si>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</si>
  <si>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</si>
  <si>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</si>
  <si>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</si>
  <si>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</si>
  <si>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</si>
  <si>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</si>
  <si>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</si>
  <si>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</si>
  <si>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</si>
  <si>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</si>
  <si>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</si>
  <si>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</si>
  <si>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</si>
  <si>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</si>
  <si>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</si>
  <si>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</si>
  <si>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</si>
  <si>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</si>
  <si>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</si>
  <si>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</si>
  <si>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</si>
  <si>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</si>
  <si>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</si>
  <si>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</si>
  <si>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</si>
  <si>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</si>
  <si>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</si>
  <si>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</si>
  <si>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</si>
  <si>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</si>
  <si>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</si>
  <si>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 xml:space="preserve">0702,    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</si>
  <si>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</si>
  <si>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</si>
  <si>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</si>
  <si>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</si>
  <si>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</si>
  <si>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</si>
  <si>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</si>
  <si>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</si>
  <si>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</si>
  <si>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</si>
  <si>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</si>
  <si>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</si>
  <si>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</si>
  <si>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</si>
  <si>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</si>
  <si>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</si>
  <si>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</si>
  <si>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</si>
  <si>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</si>
  <si>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</si>
  <si>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</si>
  <si>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</si>
  <si>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</si>
  <si>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</si>
  <si>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5.4.</t>
  </si>
  <si>
    <t>5.6.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</si>
  <si>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</si>
  <si>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</si>
  <si>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</si>
  <si>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</si>
  <si>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</si>
  <si>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</si>
  <si>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</si>
  <si>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</si>
  <si>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</si>
  <si>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</si>
  <si>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</si>
  <si>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</si>
  <si>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</si>
  <si>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</si>
  <si>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</si>
  <si>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</si>
  <si>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</si>
  <si>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</si>
  <si>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</si>
  <si>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</si>
  <si>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</si>
  <si>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</si>
  <si>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</si>
  <si>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</si>
  <si>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</si>
  <si>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</si>
  <si>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</si>
  <si>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</si>
  <si>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1.9</t>
  </si>
  <si>
    <t>01.1.0085090</t>
  </si>
  <si>
    <t>01.10085090</t>
  </si>
  <si>
    <t>01.10085180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</si>
  <si>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</si>
  <si>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</si>
  <si>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</si>
  <si>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</si>
  <si>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</si>
  <si>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</si>
  <si>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</si>
  <si>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</si>
  <si>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</si>
  <si>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</si>
  <si>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</si>
  <si>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</si>
  <si>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</si>
  <si>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</si>
  <si>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</si>
  <si>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</si>
  <si>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</si>
  <si>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</si>
  <si>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</si>
  <si>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</si>
  <si>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</si>
  <si>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</si>
  <si>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</si>
  <si>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</si>
  <si>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>5.9</t>
  </si>
  <si>
    <t>5.10</t>
  </si>
  <si>
    <t>5.11</t>
  </si>
  <si>
    <t>5.13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</si>
  <si>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</si>
  <si>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</si>
  <si>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</si>
  <si>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</si>
  <si>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</si>
  <si>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</si>
  <si>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</si>
  <si>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</si>
  <si>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</si>
  <si>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</si>
  <si>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</si>
  <si>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</si>
  <si>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</si>
  <si>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</si>
  <si>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</si>
  <si>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</si>
  <si>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</si>
  <si>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</si>
  <si>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</si>
  <si>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</si>
  <si>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</si>
  <si>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</si>
  <si>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</si>
  <si>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</si>
  <si>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</si>
  <si>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</si>
  <si>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</si>
  <si>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</si>
  <si>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</si>
  <si>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</si>
  <si>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</si>
  <si>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</si>
  <si>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</si>
  <si>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</si>
  <si>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</si>
  <si>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7.5</t>
  </si>
  <si>
    <t>01.100S5630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</si>
  <si>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</si>
  <si>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</si>
  <si>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</si>
  <si>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5.16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</si>
  <si>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</si>
  <si>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</si>
  <si>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</si>
  <si>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5.17</t>
  </si>
  <si>
    <t xml:space="preserve">    01.1.00S0220</t>
  </si>
  <si>
    <t>1.10</t>
  </si>
  <si>
    <t xml:space="preserve">     01.1.00S0220</t>
  </si>
  <si>
    <t>5.18</t>
  </si>
  <si>
    <t xml:space="preserve">        01.1.00S0220</t>
  </si>
  <si>
    <t>7.3.</t>
  </si>
  <si>
    <t>7.4</t>
  </si>
  <si>
    <t>Итого за период  2019-2021 годы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</si>
  <si>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</si>
  <si>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</si>
  <si>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</si>
  <si>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 xml:space="preserve"> 01.100L0271</t>
  </si>
  <si>
    <t xml:space="preserve">образования "город Шарыпово Красноярского края" </t>
  </si>
  <si>
    <t>1.11</t>
  </si>
  <si>
    <t>1.12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</si>
  <si>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</si>
  <si>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</si>
  <si>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</si>
  <si>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</si>
  <si>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6.3.</t>
  </si>
  <si>
    <t>6.14</t>
  </si>
  <si>
    <t>Текущий ремонт кровли произведен в 4-х учреждениях</t>
  </si>
  <si>
    <t>1.13</t>
  </si>
  <si>
    <t xml:space="preserve">    01.1.0010240</t>
  </si>
  <si>
    <t xml:space="preserve">     01.1.0010240</t>
  </si>
  <si>
    <t xml:space="preserve">        01.1.0010240</t>
  </si>
  <si>
    <t>0702             0703</t>
  </si>
  <si>
    <t xml:space="preserve">    01.1.0010230</t>
  </si>
  <si>
    <t xml:space="preserve">    01.1.00S0230</t>
  </si>
  <si>
    <t>1.14</t>
  </si>
  <si>
    <t>1.15</t>
  </si>
  <si>
    <t>5,12</t>
  </si>
  <si>
    <t>5.19</t>
  </si>
  <si>
    <t>5.20</t>
  </si>
  <si>
    <t>6.15</t>
  </si>
  <si>
    <t>6.16</t>
  </si>
  <si>
    <t>6.17</t>
  </si>
  <si>
    <t xml:space="preserve">  01.1R373980</t>
  </si>
  <si>
    <t xml:space="preserve">к подпрограмме "Развитие дошкольного, общего и дополнительного образования" </t>
  </si>
  <si>
    <t>Оплата исполнительных листов по МРЗП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</si>
  <si>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</si>
  <si>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</si>
  <si>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</si>
  <si>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</si>
  <si>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</si>
  <si>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</si>
  <si>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</si>
  <si>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Выведение средств обнаружения пожаров на пульт подразделения пожарной охраны</t>
  </si>
  <si>
    <t>Восстановлено  наружное освещение в 18-ти учреждениях</t>
  </si>
  <si>
    <t>Расходы, предусмотренные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</si>
  <si>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</si>
  <si>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 xml:space="preserve">           01.100S5620</t>
  </si>
  <si>
    <t xml:space="preserve">           01.10075620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</si>
  <si>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 отдельных категорий работников, увеличение оплаты которых осуществляется в соотвествии с указами Президента РФ в рамках подпрограммы "Развитие дошкольного, общего и дополнительного образования"</t>
  </si>
  <si>
    <t xml:space="preserve">       01.10010380</t>
  </si>
  <si>
    <t>0703    0707</t>
  </si>
  <si>
    <t>6,2</t>
  </si>
  <si>
    <t>0701, 0702</t>
  </si>
  <si>
    <t xml:space="preserve">    Приложение № 4</t>
  </si>
  <si>
    <t>к постановлению Администрации города Шарыпово</t>
  </si>
  <si>
    <t>от _____________2019 года №__________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</si>
  <si>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</si>
  <si>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 в рамках подпрограммы "Развитие дошкольного, общего и дополнительного образования"</t>
  </si>
  <si>
    <t xml:space="preserve">     01.1.0010250</t>
  </si>
  <si>
    <t>1.16</t>
  </si>
  <si>
    <t xml:space="preserve">    01.1.0010250</t>
  </si>
  <si>
    <t>6.18</t>
  </si>
  <si>
    <t xml:space="preserve">        01.1.0010250</t>
  </si>
  <si>
    <t xml:space="preserve">    Приложение № 5</t>
  </si>
  <si>
    <t>от 31.12.2019 года № 303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</si>
</sst>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1" fillId="34" borderId="17" xfId="0" applyNumberFormat="1" applyFont="1" applyFill="1" applyBorder="1" applyAlignment="1">
      <alignment vertical="top"/>
    </xf>
    <xf numFmtId="0" fontId="1" fillId="34" borderId="12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49" fontId="1" fillId="34" borderId="17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2" fontId="1" fillId="34" borderId="17" xfId="0" applyNumberFormat="1" applyFont="1" applyFill="1" applyBorder="1" applyAlignment="1">
      <alignment vertical="top"/>
    </xf>
    <xf numFmtId="2" fontId="2" fillId="34" borderId="17" xfId="0" applyNumberFormat="1" applyFont="1" applyFill="1" applyBorder="1" applyAlignment="1">
      <alignment vertical="top"/>
    </xf>
    <xf numFmtId="0" fontId="1" fillId="34" borderId="17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14" fontId="1" fillId="34" borderId="10" xfId="0" applyNumberFormat="1" applyFont="1" applyFill="1" applyBorder="1" applyAlignment="1">
      <alignment horizontal="center" vertical="top" wrapText="1"/>
    </xf>
    <xf numFmtId="2" fontId="1" fillId="34" borderId="13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left" vertical="center" wrapText="1"/>
    </xf>
    <xf numFmtId="0" fontId="1" fillId="34" borderId="16" xfId="0" applyNumberFormat="1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6" xfId="0" applyNumberFormat="1" applyFont="1" applyFill="1" applyBorder="1" applyAlignment="1">
      <alignment horizontal="center" vertical="top" wrapText="1"/>
    </xf>
    <xf numFmtId="49" fontId="1" fillId="34" borderId="17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 wrapText="1"/>
    </xf>
    <xf numFmtId="2" fontId="1" fillId="34" borderId="17" xfId="0" applyNumberFormat="1" applyFont="1" applyFill="1" applyBorder="1" applyAlignment="1">
      <alignment horizontal="center" vertical="top" wrapText="1"/>
    </xf>
    <xf numFmtId="2" fontId="2" fillId="34" borderId="17" xfId="0" applyNumberFormat="1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left" vertical="top" wrapText="1"/>
    </xf>
    <xf numFmtId="49" fontId="1" fillId="34" borderId="13" xfId="0" applyNumberFormat="1" applyFont="1" applyFill="1" applyBorder="1" applyAlignment="1">
      <alignment horizontal="center" vertical="top" wrapText="1"/>
    </xf>
    <xf numFmtId="14" fontId="1" fillId="34" borderId="13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2" fontId="1" fillId="34" borderId="17" xfId="0" applyNumberFormat="1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vertical="top" wrapText="1"/>
    </xf>
    <xf numFmtId="0" fontId="1" fillId="34" borderId="17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vertical="top" wrapText="1"/>
    </xf>
    <xf numFmtId="183" fontId="1" fillId="34" borderId="10" xfId="0" applyNumberFormat="1" applyFont="1" applyFill="1" applyBorder="1" applyAlignment="1">
      <alignment horizontal="center" vertical="top" wrapText="1"/>
    </xf>
    <xf numFmtId="183" fontId="1" fillId="34" borderId="17" xfId="0" applyNumberFormat="1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left" vertical="top" wrapText="1"/>
    </xf>
    <xf numFmtId="14" fontId="1" fillId="34" borderId="17" xfId="0" applyNumberFormat="1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9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="75" zoomScaleNormal="75" zoomScalePageLayoutView="0" workbookViewId="0" topLeftCell="A3">
      <selection activeCell="H12" sqref="H12:J12"/>
    </sheetView>
  </sheetViews>
  <sheetFormatPr defaultColWidth="9.00390625" defaultRowHeight="12.75"/>
  <cols>
    <col min="1" max="1" width="5.375" style="92" customWidth="1"/>
    <col min="2" max="2" width="39.00390625" style="93" customWidth="1"/>
    <col min="3" max="3" width="15.625" style="93" customWidth="1"/>
    <col min="4" max="4" width="7.625" style="93" customWidth="1"/>
    <col min="5" max="5" width="8.75390625" style="93" customWidth="1"/>
    <col min="6" max="6" width="14.625" style="93" customWidth="1"/>
    <col min="7" max="7" width="6.125" style="93" customWidth="1"/>
    <col min="8" max="10" width="10.875" style="93" customWidth="1"/>
    <col min="11" max="11" width="12.875" style="93" customWidth="1"/>
    <col min="12" max="12" width="17.625" style="93" customWidth="1"/>
    <col min="13" max="13" width="11.00390625" style="0" bestFit="1" customWidth="1"/>
  </cols>
  <sheetData>
    <row r="1" spans="1:12" ht="21.75" customHeight="1" hidden="1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21.75" customHeight="1" hidden="1">
      <c r="A2" s="13"/>
      <c r="B2" s="14"/>
      <c r="C2" s="14"/>
      <c r="D2" s="14"/>
      <c r="E2" s="14"/>
      <c r="F2" s="177" t="s">
        <v>57</v>
      </c>
      <c r="G2" s="177"/>
      <c r="H2" s="177"/>
      <c r="I2" s="177"/>
      <c r="J2" s="177"/>
      <c r="K2" s="177"/>
      <c r="L2" s="177"/>
    </row>
    <row r="3" spans="1:12" ht="21.75" customHeight="1">
      <c r="A3" s="13"/>
      <c r="B3" s="15"/>
      <c r="C3" s="15"/>
      <c r="D3" s="15"/>
      <c r="E3" s="15"/>
      <c r="F3" s="15"/>
      <c r="G3" s="15"/>
      <c r="H3" s="15"/>
      <c r="I3" s="15"/>
      <c r="J3" s="15"/>
      <c r="K3" s="176" t="s">
        <v>266</v>
      </c>
      <c r="L3" s="176"/>
    </row>
    <row r="4" spans="1:12" ht="18.75" customHeight="1">
      <c r="A4" s="176" t="s">
        <v>257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3.5" customHeight="1">
      <c r="A5" s="176" t="s">
        <v>267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ht="21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76" t="s">
        <v>72</v>
      </c>
      <c r="L6" s="176"/>
    </row>
    <row r="7" spans="1:12" ht="18.75" customHeight="1">
      <c r="A7" s="176" t="s">
        <v>236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ht="13.5" customHeight="1">
      <c r="A8" s="176" t="s">
        <v>73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ht="15.75" customHeight="1">
      <c r="A9" s="176" t="s">
        <v>210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2" ht="15.7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ht="51.75" customHeight="1">
      <c r="A11" s="178" t="s">
        <v>71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80"/>
      <c r="L11" s="180"/>
    </row>
    <row r="12" spans="1:12" ht="40.5" customHeight="1">
      <c r="A12" s="181" t="s">
        <v>0</v>
      </c>
      <c r="B12" s="161" t="s">
        <v>2</v>
      </c>
      <c r="C12" s="17"/>
      <c r="D12" s="161" t="s">
        <v>4</v>
      </c>
      <c r="E12" s="161"/>
      <c r="F12" s="161"/>
      <c r="G12" s="161"/>
      <c r="H12" s="163"/>
      <c r="I12" s="169"/>
      <c r="J12" s="182"/>
      <c r="K12" s="161" t="s">
        <v>205</v>
      </c>
      <c r="L12" s="161" t="s">
        <v>8</v>
      </c>
    </row>
    <row r="13" spans="1:12" ht="40.5" customHeight="1">
      <c r="A13" s="181"/>
      <c r="B13" s="161"/>
      <c r="C13" s="17" t="s">
        <v>3</v>
      </c>
      <c r="D13" s="17" t="s">
        <v>3</v>
      </c>
      <c r="E13" s="17" t="s">
        <v>5</v>
      </c>
      <c r="F13" s="17" t="s">
        <v>6</v>
      </c>
      <c r="G13" s="17" t="s">
        <v>7</v>
      </c>
      <c r="H13" s="17">
        <v>2019</v>
      </c>
      <c r="I13" s="17">
        <v>2020</v>
      </c>
      <c r="J13" s="17">
        <v>2021</v>
      </c>
      <c r="K13" s="161"/>
      <c r="L13" s="161"/>
    </row>
    <row r="14" spans="1:12" s="3" customFormat="1" ht="18.75" customHeight="1">
      <c r="A14" s="162" t="s">
        <v>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ht="22.5" customHeight="1">
      <c r="A15" s="165" t="s">
        <v>18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2" s="7" customFormat="1" ht="385.5" customHeight="1">
      <c r="A16" s="16" t="s">
        <v>79</v>
      </c>
      <c r="B16" s="19" t="s">
        <v>117</v>
      </c>
      <c r="C16" s="20" t="s">
        <v>126</v>
      </c>
      <c r="D16" s="16" t="s">
        <v>38</v>
      </c>
      <c r="E16" s="16" t="s">
        <v>39</v>
      </c>
      <c r="F16" s="21" t="s">
        <v>153</v>
      </c>
      <c r="G16" s="17" t="s">
        <v>26</v>
      </c>
      <c r="H16" s="22">
        <f>136537.4+6579.2+7165.4+197.4+2763.7-5+5</f>
        <v>153243.1</v>
      </c>
      <c r="I16" s="22">
        <v>136537.4</v>
      </c>
      <c r="J16" s="22">
        <v>136537.4</v>
      </c>
      <c r="K16" s="23">
        <f aca="true" t="shared" si="0" ref="K16:K31">SUM(H16:J16)</f>
        <v>426317.9</v>
      </c>
      <c r="L16" s="17" t="s">
        <v>74</v>
      </c>
    </row>
    <row r="17" spans="1:12" s="7" customFormat="1" ht="372" customHeight="1">
      <c r="A17" s="16" t="s">
        <v>80</v>
      </c>
      <c r="B17" s="19" t="s">
        <v>192</v>
      </c>
      <c r="C17" s="20" t="s">
        <v>126</v>
      </c>
      <c r="D17" s="16" t="s">
        <v>38</v>
      </c>
      <c r="E17" s="16" t="s">
        <v>39</v>
      </c>
      <c r="F17" s="21" t="s">
        <v>184</v>
      </c>
      <c r="G17" s="17" t="s">
        <v>26</v>
      </c>
      <c r="H17" s="24">
        <f>63333.8+6818.5+2876.72+642.5+79.9</f>
        <v>73751.42</v>
      </c>
      <c r="I17" s="24">
        <v>63333.8</v>
      </c>
      <c r="J17" s="24">
        <v>63333.8</v>
      </c>
      <c r="K17" s="23">
        <f t="shared" si="0"/>
        <v>200419.02000000002</v>
      </c>
      <c r="L17" s="17" t="s">
        <v>74</v>
      </c>
    </row>
    <row r="18" spans="1:12" s="7" customFormat="1" ht="138" customHeight="1">
      <c r="A18" s="16" t="s">
        <v>81</v>
      </c>
      <c r="B18" s="25" t="s">
        <v>52</v>
      </c>
      <c r="C18" s="20" t="s">
        <v>126</v>
      </c>
      <c r="D18" s="26" t="s">
        <v>38</v>
      </c>
      <c r="E18" s="26" t="s">
        <v>39</v>
      </c>
      <c r="F18" s="27" t="s">
        <v>185</v>
      </c>
      <c r="G18" s="28" t="s">
        <v>26</v>
      </c>
      <c r="H18" s="24">
        <f>31062.66+1913.3-3+96.35-360+1857+12.79+40.51+121.28-42</f>
        <v>34698.89</v>
      </c>
      <c r="I18" s="24">
        <f>31062.66</f>
        <v>31062.66</v>
      </c>
      <c r="J18" s="24">
        <v>31062.66</v>
      </c>
      <c r="K18" s="23">
        <f t="shared" si="0"/>
        <v>96824.21</v>
      </c>
      <c r="L18" s="29" t="s">
        <v>75</v>
      </c>
    </row>
    <row r="19" spans="1:12" s="7" customFormat="1" ht="176.25" customHeight="1">
      <c r="A19" s="16" t="s">
        <v>82</v>
      </c>
      <c r="B19" s="25" t="s">
        <v>251</v>
      </c>
      <c r="C19" s="20" t="s">
        <v>126</v>
      </c>
      <c r="D19" s="26" t="s">
        <v>38</v>
      </c>
      <c r="E19" s="26" t="s">
        <v>39</v>
      </c>
      <c r="F19" s="27" t="s">
        <v>252</v>
      </c>
      <c r="G19" s="28" t="s">
        <v>26</v>
      </c>
      <c r="H19" s="24"/>
      <c r="I19" s="24"/>
      <c r="J19" s="24"/>
      <c r="K19" s="23">
        <f t="shared" si="0"/>
        <v>0</v>
      </c>
      <c r="L19" s="29"/>
    </row>
    <row r="20" spans="1:12" s="7" customFormat="1" ht="169.5" customHeight="1">
      <c r="A20" s="26" t="s">
        <v>155</v>
      </c>
      <c r="B20" s="25" t="s">
        <v>110</v>
      </c>
      <c r="C20" s="20" t="s">
        <v>126</v>
      </c>
      <c r="D20" s="26" t="s">
        <v>38</v>
      </c>
      <c r="E20" s="26" t="s">
        <v>39</v>
      </c>
      <c r="F20" s="27" t="s">
        <v>131</v>
      </c>
      <c r="G20" s="28" t="s">
        <v>26</v>
      </c>
      <c r="H20" s="24">
        <f>27592.6</f>
        <v>27592.6</v>
      </c>
      <c r="I20" s="24">
        <f>27592.6</f>
        <v>27592.6</v>
      </c>
      <c r="J20" s="24">
        <f>27592.6</f>
        <v>27592.6</v>
      </c>
      <c r="K20" s="23">
        <f t="shared" si="0"/>
        <v>82777.79999999999</v>
      </c>
      <c r="L20" s="29" t="s">
        <v>111</v>
      </c>
    </row>
    <row r="21" spans="1:12" s="7" customFormat="1" ht="166.5" customHeight="1">
      <c r="A21" s="26" t="s">
        <v>156</v>
      </c>
      <c r="B21" s="30" t="s">
        <v>58</v>
      </c>
      <c r="C21" s="20" t="s">
        <v>126</v>
      </c>
      <c r="D21" s="16" t="s">
        <v>38</v>
      </c>
      <c r="E21" s="16" t="s">
        <v>39</v>
      </c>
      <c r="F21" s="21" t="s">
        <v>132</v>
      </c>
      <c r="G21" s="17" t="s">
        <v>26</v>
      </c>
      <c r="H21" s="22">
        <f>2946.53+1196.72+46.66</f>
        <v>4189.91</v>
      </c>
      <c r="I21" s="22">
        <f>2946.53+1196.72</f>
        <v>4143.25</v>
      </c>
      <c r="J21" s="22">
        <f>2946.53+1196.72</f>
        <v>4143.25</v>
      </c>
      <c r="K21" s="23">
        <f t="shared" si="0"/>
        <v>12476.41</v>
      </c>
      <c r="L21" s="18" t="s">
        <v>75</v>
      </c>
    </row>
    <row r="22" spans="1:12" s="3" customFormat="1" ht="388.5" customHeight="1">
      <c r="A22" s="16" t="s">
        <v>157</v>
      </c>
      <c r="B22" s="31" t="s">
        <v>68</v>
      </c>
      <c r="C22" s="20" t="s">
        <v>126</v>
      </c>
      <c r="D22" s="16" t="s">
        <v>38</v>
      </c>
      <c r="E22" s="17">
        <v>1003</v>
      </c>
      <c r="F22" s="16" t="s">
        <v>133</v>
      </c>
      <c r="G22" s="17" t="s">
        <v>26</v>
      </c>
      <c r="H22" s="22">
        <f>504+119.2-107.6</f>
        <v>515.6</v>
      </c>
      <c r="I22" s="22">
        <v>504</v>
      </c>
      <c r="J22" s="22">
        <v>504</v>
      </c>
      <c r="K22" s="23">
        <f t="shared" si="0"/>
        <v>1523.6</v>
      </c>
      <c r="L22" s="18" t="s">
        <v>27</v>
      </c>
    </row>
    <row r="23" spans="1:13" s="7" customFormat="1" ht="195" customHeight="1">
      <c r="A23" s="16" t="s">
        <v>120</v>
      </c>
      <c r="B23" s="141" t="s">
        <v>59</v>
      </c>
      <c r="C23" s="20" t="s">
        <v>126</v>
      </c>
      <c r="D23" s="16" t="s">
        <v>38</v>
      </c>
      <c r="E23" s="16" t="s">
        <v>39</v>
      </c>
      <c r="F23" s="17" t="s">
        <v>134</v>
      </c>
      <c r="G23" s="17" t="s">
        <v>26</v>
      </c>
      <c r="H23" s="22">
        <f>15525.72-434.64-481.97+130.2+441.84-42.33-26.04-125.66-499.51+297.15+237.74+685.82-23.44</f>
        <v>15684.88</v>
      </c>
      <c r="I23" s="22">
        <f>15525.72</f>
        <v>15525.72</v>
      </c>
      <c r="J23" s="22">
        <f>15525.72</f>
        <v>15525.72</v>
      </c>
      <c r="K23" s="23">
        <f t="shared" si="0"/>
        <v>46736.32</v>
      </c>
      <c r="L23" s="18" t="s">
        <v>83</v>
      </c>
      <c r="M23" s="7" t="s">
        <v>25</v>
      </c>
    </row>
    <row r="24" spans="1:12" s="7" customFormat="1" ht="215.25" customHeight="1">
      <c r="A24" s="16" t="s">
        <v>121</v>
      </c>
      <c r="B24" s="31" t="s">
        <v>63</v>
      </c>
      <c r="C24" s="20" t="s">
        <v>126</v>
      </c>
      <c r="D24" s="16" t="s">
        <v>38</v>
      </c>
      <c r="E24" s="16" t="s">
        <v>39</v>
      </c>
      <c r="F24" s="17" t="s">
        <v>45</v>
      </c>
      <c r="G24" s="17" t="s">
        <v>26</v>
      </c>
      <c r="H24" s="22">
        <f>6620.77+3190.6-16.14+3048.77-17.58</f>
        <v>12826.420000000002</v>
      </c>
      <c r="I24" s="22">
        <v>0</v>
      </c>
      <c r="J24" s="22">
        <v>0</v>
      </c>
      <c r="K24" s="23">
        <f t="shared" si="0"/>
        <v>12826.420000000002</v>
      </c>
      <c r="L24" s="18" t="s">
        <v>83</v>
      </c>
    </row>
    <row r="25" spans="1:12" s="7" customFormat="1" ht="105" customHeight="1">
      <c r="A25" s="16" t="s">
        <v>199</v>
      </c>
      <c r="B25" s="31" t="s">
        <v>237</v>
      </c>
      <c r="C25" s="20" t="s">
        <v>126</v>
      </c>
      <c r="D25" s="16" t="s">
        <v>38</v>
      </c>
      <c r="E25" s="16" t="s">
        <v>39</v>
      </c>
      <c r="F25" s="17" t="s">
        <v>225</v>
      </c>
      <c r="G25" s="17" t="s">
        <v>26</v>
      </c>
      <c r="H25" s="22">
        <f>241.33+481.97+341.14-26.56+136.78+0.13+156.81</f>
        <v>1331.6000000000001</v>
      </c>
      <c r="I25" s="22">
        <v>0</v>
      </c>
      <c r="J25" s="22">
        <v>0</v>
      </c>
      <c r="K25" s="23">
        <f t="shared" si="0"/>
        <v>1331.6000000000001</v>
      </c>
      <c r="L25" s="18"/>
    </row>
    <row r="26" spans="1:12" s="7" customFormat="1" ht="126" customHeight="1">
      <c r="A26" s="16" t="s">
        <v>211</v>
      </c>
      <c r="B26" s="31" t="s">
        <v>237</v>
      </c>
      <c r="C26" s="20" t="s">
        <v>126</v>
      </c>
      <c r="D26" s="16" t="s">
        <v>38</v>
      </c>
      <c r="E26" s="16" t="s">
        <v>39</v>
      </c>
      <c r="F26" s="17" t="s">
        <v>226</v>
      </c>
      <c r="G26" s="17" t="s">
        <v>26</v>
      </c>
      <c r="H26" s="22">
        <f>103.43+397.76-11.38+42.2+21.76</f>
        <v>553.77</v>
      </c>
      <c r="I26" s="22">
        <v>0</v>
      </c>
      <c r="J26" s="22">
        <v>0</v>
      </c>
      <c r="K26" s="23">
        <f t="shared" si="0"/>
        <v>553.77</v>
      </c>
      <c r="L26" s="18"/>
    </row>
    <row r="27" spans="1:12" s="7" customFormat="1" ht="215.25" customHeight="1">
      <c r="A27" s="16" t="s">
        <v>212</v>
      </c>
      <c r="B27" s="31" t="s">
        <v>63</v>
      </c>
      <c r="C27" s="20" t="s">
        <v>126</v>
      </c>
      <c r="D27" s="16" t="s">
        <v>38</v>
      </c>
      <c r="E27" s="16" t="s">
        <v>39</v>
      </c>
      <c r="F27" s="17" t="s">
        <v>221</v>
      </c>
      <c r="G27" s="17" t="s">
        <v>26</v>
      </c>
      <c r="H27" s="22">
        <f>748.07+345.34+68.93+397.21</f>
        <v>1559.5500000000002</v>
      </c>
      <c r="I27" s="22">
        <v>0</v>
      </c>
      <c r="J27" s="22">
        <v>0</v>
      </c>
      <c r="K27" s="23">
        <f>SUM(H27:J27)</f>
        <v>1559.5500000000002</v>
      </c>
      <c r="L27" s="18" t="s">
        <v>83</v>
      </c>
    </row>
    <row r="28" spans="1:12" s="7" customFormat="1" ht="215.25" customHeight="1">
      <c r="A28" s="16" t="s">
        <v>220</v>
      </c>
      <c r="B28" s="31" t="s">
        <v>63</v>
      </c>
      <c r="C28" s="20" t="s">
        <v>126</v>
      </c>
      <c r="D28" s="16" t="s">
        <v>38</v>
      </c>
      <c r="E28" s="16" t="s">
        <v>39</v>
      </c>
      <c r="F28" s="17" t="s">
        <v>263</v>
      </c>
      <c r="G28" s="17" t="s">
        <v>26</v>
      </c>
      <c r="H28" s="22">
        <v>347.51</v>
      </c>
      <c r="I28" s="22">
        <v>0</v>
      </c>
      <c r="J28" s="22">
        <v>0</v>
      </c>
      <c r="K28" s="23">
        <f>SUM(H28:J28)</f>
        <v>347.51</v>
      </c>
      <c r="L28" s="18" t="s">
        <v>83</v>
      </c>
    </row>
    <row r="29" spans="1:12" s="7" customFormat="1" ht="215.25" customHeight="1">
      <c r="A29" s="16" t="s">
        <v>227</v>
      </c>
      <c r="B29" s="31" t="s">
        <v>63</v>
      </c>
      <c r="C29" s="20" t="s">
        <v>126</v>
      </c>
      <c r="D29" s="16" t="s">
        <v>38</v>
      </c>
      <c r="E29" s="16" t="s">
        <v>39</v>
      </c>
      <c r="F29" s="17" t="s">
        <v>198</v>
      </c>
      <c r="G29" s="17" t="s">
        <v>26</v>
      </c>
      <c r="H29" s="22">
        <f>4146.15+1529.57-58.59</f>
        <v>5617.129999999999</v>
      </c>
      <c r="I29" s="22">
        <f>4146.15</f>
        <v>4146.15</v>
      </c>
      <c r="J29" s="22">
        <f>4146.15</f>
        <v>4146.15</v>
      </c>
      <c r="K29" s="23">
        <f t="shared" si="0"/>
        <v>13909.429999999998</v>
      </c>
      <c r="L29" s="18" t="s">
        <v>83</v>
      </c>
    </row>
    <row r="30" spans="1:12" s="7" customFormat="1" ht="215.25" customHeight="1">
      <c r="A30" s="16" t="s">
        <v>228</v>
      </c>
      <c r="B30" s="31" t="s">
        <v>60</v>
      </c>
      <c r="C30" s="20" t="s">
        <v>126</v>
      </c>
      <c r="D30" s="16" t="s">
        <v>159</v>
      </c>
      <c r="E30" s="17">
        <v>1004</v>
      </c>
      <c r="F30" s="16" t="s">
        <v>135</v>
      </c>
      <c r="G30" s="17" t="s">
        <v>44</v>
      </c>
      <c r="H30" s="22">
        <f>5931.5-1329.9</f>
        <v>4601.6</v>
      </c>
      <c r="I30" s="22">
        <v>5931.5</v>
      </c>
      <c r="J30" s="22">
        <v>5931.5</v>
      </c>
      <c r="K30" s="23">
        <f t="shared" si="0"/>
        <v>16464.6</v>
      </c>
      <c r="L30" s="18" t="s">
        <v>76</v>
      </c>
    </row>
    <row r="31" spans="1:12" s="7" customFormat="1" ht="171.75" customHeight="1">
      <c r="A31" s="16" t="s">
        <v>262</v>
      </c>
      <c r="B31" s="142" t="s">
        <v>238</v>
      </c>
      <c r="C31" s="20" t="s">
        <v>126</v>
      </c>
      <c r="D31" s="32" t="s">
        <v>38</v>
      </c>
      <c r="E31" s="17"/>
      <c r="F31" s="17"/>
      <c r="G31" s="17"/>
      <c r="H31" s="17">
        <f>23008.1+315.99+179.3+18+372+1934.48+537.4+1141+16.98+20</f>
        <v>27543.25</v>
      </c>
      <c r="I31" s="17">
        <v>23008.1</v>
      </c>
      <c r="J31" s="17">
        <v>23008.1</v>
      </c>
      <c r="K31" s="23">
        <f t="shared" si="0"/>
        <v>73559.45</v>
      </c>
      <c r="L31" s="18" t="s">
        <v>77</v>
      </c>
    </row>
    <row r="32" spans="1:12" s="3" customFormat="1" ht="24.75" customHeight="1">
      <c r="A32" s="168" t="s">
        <v>19</v>
      </c>
      <c r="B32" s="169"/>
      <c r="C32" s="169"/>
      <c r="D32" s="33"/>
      <c r="E32" s="34"/>
      <c r="F32" s="34"/>
      <c r="G32" s="34"/>
      <c r="H32" s="23">
        <f>SUM(H16:H31)</f>
        <v>364057.2299999999</v>
      </c>
      <c r="I32" s="23">
        <f>SUM(I16:I31)</f>
        <v>311785.18</v>
      </c>
      <c r="J32" s="23">
        <f>SUM(J16:J31)</f>
        <v>311785.18</v>
      </c>
      <c r="K32" s="23">
        <f>SUM(K16:K31)</f>
        <v>987627.59</v>
      </c>
      <c r="L32" s="34"/>
    </row>
    <row r="33" spans="1:13" ht="25.5" customHeight="1">
      <c r="A33" s="170" t="s">
        <v>158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2"/>
      <c r="M33" s="12"/>
    </row>
    <row r="34" spans="1:12" ht="258" customHeight="1">
      <c r="A34" s="16" t="s">
        <v>84</v>
      </c>
      <c r="B34" s="35" t="s">
        <v>61</v>
      </c>
      <c r="C34" s="20" t="s">
        <v>126</v>
      </c>
      <c r="D34" s="16" t="s">
        <v>38</v>
      </c>
      <c r="E34" s="36" t="s">
        <v>40</v>
      </c>
      <c r="F34" s="36" t="s">
        <v>136</v>
      </c>
      <c r="G34" s="17" t="s">
        <v>26</v>
      </c>
      <c r="H34" s="37">
        <f>103.9-32.9</f>
        <v>71</v>
      </c>
      <c r="I34" s="37">
        <v>103.9</v>
      </c>
      <c r="J34" s="37">
        <v>103.9</v>
      </c>
      <c r="K34" s="38">
        <f>SUM(H34:J34)</f>
        <v>278.8</v>
      </c>
      <c r="L34" s="35" t="s">
        <v>206</v>
      </c>
    </row>
    <row r="35" spans="1:12" ht="21" customHeight="1">
      <c r="A35" s="39"/>
      <c r="B35" s="40" t="s">
        <v>20</v>
      </c>
      <c r="C35" s="40"/>
      <c r="D35" s="41"/>
      <c r="E35" s="41"/>
      <c r="F35" s="41"/>
      <c r="G35" s="41"/>
      <c r="H35" s="38">
        <f>SUM(H34:H34)</f>
        <v>71</v>
      </c>
      <c r="I35" s="38">
        <f>SUM(I34:I34)</f>
        <v>103.9</v>
      </c>
      <c r="J35" s="38">
        <f>SUM(J34:J34)</f>
        <v>103.9</v>
      </c>
      <c r="K35" s="38">
        <f>SUM(K34:K34)</f>
        <v>278.8</v>
      </c>
      <c r="L35" s="41"/>
    </row>
    <row r="36" spans="1:15" ht="36.75" customHeight="1">
      <c r="A36" s="173" t="s">
        <v>21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5"/>
      <c r="M36" s="5"/>
      <c r="N36" s="5"/>
      <c r="O36" s="5"/>
    </row>
    <row r="37" spans="1:12" ht="195" customHeight="1">
      <c r="A37" s="16" t="s">
        <v>85</v>
      </c>
      <c r="B37" s="35" t="s">
        <v>113</v>
      </c>
      <c r="C37" s="20" t="s">
        <v>126</v>
      </c>
      <c r="D37" s="16" t="s">
        <v>38</v>
      </c>
      <c r="E37" s="42" t="s">
        <v>39</v>
      </c>
      <c r="F37" s="42"/>
      <c r="G37" s="17" t="s">
        <v>26</v>
      </c>
      <c r="H37" s="43"/>
      <c r="I37" s="43"/>
      <c r="J37" s="43"/>
      <c r="K37" s="44">
        <f>SUM(H37:H37)</f>
        <v>0</v>
      </c>
      <c r="L37" s="35" t="s">
        <v>213</v>
      </c>
    </row>
    <row r="38" spans="1:12" ht="204" customHeight="1">
      <c r="A38" s="16" t="s">
        <v>86</v>
      </c>
      <c r="B38" s="35" t="s">
        <v>114</v>
      </c>
      <c r="C38" s="20" t="s">
        <v>126</v>
      </c>
      <c r="D38" s="16" t="s">
        <v>38</v>
      </c>
      <c r="E38" s="42" t="s">
        <v>41</v>
      </c>
      <c r="F38" s="42"/>
      <c r="G38" s="17" t="s">
        <v>26</v>
      </c>
      <c r="H38" s="43"/>
      <c r="I38" s="43"/>
      <c r="J38" s="43"/>
      <c r="K38" s="44">
        <f>SUM(H38:H38)</f>
        <v>0</v>
      </c>
      <c r="L38" s="35" t="s">
        <v>213</v>
      </c>
    </row>
    <row r="39" spans="1:12" ht="21" customHeight="1">
      <c r="A39" s="45"/>
      <c r="B39" s="34" t="s">
        <v>14</v>
      </c>
      <c r="C39" s="34"/>
      <c r="D39" s="34"/>
      <c r="E39" s="41"/>
      <c r="F39" s="46"/>
      <c r="G39" s="46"/>
      <c r="H39" s="23">
        <f>SUM(H37:H38)</f>
        <v>0</v>
      </c>
      <c r="I39" s="23">
        <f>SUM(I37:I38)</f>
        <v>0</v>
      </c>
      <c r="J39" s="23"/>
      <c r="K39" s="23">
        <f>SUM(K37:K38)</f>
        <v>0</v>
      </c>
      <c r="L39" s="23">
        <f>SUM(L37:L38)</f>
        <v>0</v>
      </c>
    </row>
    <row r="40" spans="1:13" s="1" customFormat="1" ht="59.25" customHeight="1">
      <c r="A40" s="150" t="s">
        <v>78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2"/>
      <c r="M40" s="4"/>
    </row>
    <row r="41" spans="1:13" s="1" customFormat="1" ht="225" customHeight="1">
      <c r="A41" s="47" t="s">
        <v>87</v>
      </c>
      <c r="B41" s="35" t="s">
        <v>1</v>
      </c>
      <c r="C41" s="20" t="s">
        <v>126</v>
      </c>
      <c r="D41" s="32" t="s">
        <v>38</v>
      </c>
      <c r="E41" s="35"/>
      <c r="F41" s="35"/>
      <c r="G41" s="35"/>
      <c r="H41" s="48"/>
      <c r="I41" s="48"/>
      <c r="J41" s="48"/>
      <c r="K41" s="46">
        <f>SUM(H41:H41)</f>
        <v>0</v>
      </c>
      <c r="L41" s="35" t="s">
        <v>239</v>
      </c>
      <c r="M41" s="2"/>
    </row>
    <row r="42" spans="1:13" s="1" customFormat="1" ht="80.25" customHeight="1">
      <c r="A42" s="47" t="s">
        <v>88</v>
      </c>
      <c r="B42" s="35" t="s">
        <v>12</v>
      </c>
      <c r="C42" s="20" t="s">
        <v>126</v>
      </c>
      <c r="D42" s="32" t="s">
        <v>38</v>
      </c>
      <c r="E42" s="35"/>
      <c r="F42" s="35"/>
      <c r="G42" s="35"/>
      <c r="H42" s="48"/>
      <c r="I42" s="48"/>
      <c r="J42" s="48"/>
      <c r="K42" s="46">
        <f>SUM(H42:H42)</f>
        <v>0</v>
      </c>
      <c r="L42" s="35" t="s">
        <v>13</v>
      </c>
      <c r="M42" s="2"/>
    </row>
    <row r="43" spans="1:13" s="1" customFormat="1" ht="25.5" customHeight="1">
      <c r="A43" s="49"/>
      <c r="B43" s="41" t="s">
        <v>10</v>
      </c>
      <c r="C43" s="41"/>
      <c r="D43" s="34"/>
      <c r="E43" s="41"/>
      <c r="F43" s="41"/>
      <c r="G43" s="41"/>
      <c r="H43" s="23">
        <f>SUM(H41:H42)</f>
        <v>0</v>
      </c>
      <c r="I43" s="23"/>
      <c r="J43" s="23"/>
      <c r="K43" s="23">
        <f>SUM(K41:K42)</f>
        <v>0</v>
      </c>
      <c r="L43" s="41"/>
      <c r="M43" s="2"/>
    </row>
    <row r="44" spans="1:13" s="1" customFormat="1" ht="36" customHeight="1">
      <c r="A44" s="153" t="s">
        <v>22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5"/>
      <c r="M44" s="2"/>
    </row>
    <row r="45" spans="1:13" s="9" customFormat="1" ht="409.5" customHeight="1">
      <c r="A45" s="50" t="s">
        <v>11</v>
      </c>
      <c r="B45" s="19" t="s">
        <v>118</v>
      </c>
      <c r="C45" s="20" t="s">
        <v>126</v>
      </c>
      <c r="D45" s="50" t="s">
        <v>38</v>
      </c>
      <c r="E45" s="51" t="s">
        <v>224</v>
      </c>
      <c r="F45" s="51" t="s">
        <v>162</v>
      </c>
      <c r="G45" s="17" t="s">
        <v>26</v>
      </c>
      <c r="H45" s="52">
        <f>197968.8+1748.1+971.2+944.8+3341.8+4855.3+835.1+1250.8+5-5+111.7</f>
        <v>212027.59999999998</v>
      </c>
      <c r="I45" s="52">
        <f>197968.8</f>
        <v>197968.8</v>
      </c>
      <c r="J45" s="52">
        <f>197968.8</f>
        <v>197968.8</v>
      </c>
      <c r="K45" s="53">
        <f aca="true" t="shared" si="1" ref="K45:K65">SUM(H45:J45)</f>
        <v>607965.2</v>
      </c>
      <c r="L45" s="54" t="s">
        <v>214</v>
      </c>
      <c r="M45" s="8"/>
    </row>
    <row r="46" spans="1:13" s="9" customFormat="1" ht="370.5" customHeight="1">
      <c r="A46" s="50" t="s">
        <v>89</v>
      </c>
      <c r="B46" s="143" t="s">
        <v>160</v>
      </c>
      <c r="C46" s="20" t="s">
        <v>126</v>
      </c>
      <c r="D46" s="50" t="s">
        <v>38</v>
      </c>
      <c r="E46" s="50" t="s">
        <v>41</v>
      </c>
      <c r="F46" s="51" t="s">
        <v>161</v>
      </c>
      <c r="G46" s="17" t="s">
        <v>26</v>
      </c>
      <c r="H46" s="52">
        <f>20269+649.7+303.89+222.3+10.1+175.11</f>
        <v>21630.1</v>
      </c>
      <c r="I46" s="52">
        <f>20269</f>
        <v>20269</v>
      </c>
      <c r="J46" s="52">
        <f>20269</f>
        <v>20269</v>
      </c>
      <c r="K46" s="53">
        <f t="shared" si="1"/>
        <v>62168.1</v>
      </c>
      <c r="L46" s="54" t="s">
        <v>207</v>
      </c>
      <c r="M46" s="8"/>
    </row>
    <row r="47" spans="1:13" s="9" customFormat="1" ht="285.75" customHeight="1">
      <c r="A47" s="50" t="s">
        <v>90</v>
      </c>
      <c r="B47" s="55" t="s">
        <v>54</v>
      </c>
      <c r="C47" s="20" t="s">
        <v>126</v>
      </c>
      <c r="D47" s="50" t="s">
        <v>38</v>
      </c>
      <c r="E47" s="50" t="s">
        <v>41</v>
      </c>
      <c r="F47" s="51" t="s">
        <v>164</v>
      </c>
      <c r="G47" s="17" t="s">
        <v>53</v>
      </c>
      <c r="H47" s="52">
        <f>34812.35+75.19+276.38+59.98+24+1254.67+360+75+3473+75.43-276.03+240.65+532.13-2.7</f>
        <v>40980.05</v>
      </c>
      <c r="I47" s="52">
        <f>34812.35</f>
        <v>34812.35</v>
      </c>
      <c r="J47" s="52">
        <f>34812.35</f>
        <v>34812.35</v>
      </c>
      <c r="K47" s="53">
        <f t="shared" si="1"/>
        <v>110604.75</v>
      </c>
      <c r="L47" s="54" t="s">
        <v>214</v>
      </c>
      <c r="M47" s="8"/>
    </row>
    <row r="48" spans="1:13" s="9" customFormat="1" ht="146.25" customHeight="1">
      <c r="A48" s="50" t="s">
        <v>91</v>
      </c>
      <c r="B48" s="56" t="s">
        <v>154</v>
      </c>
      <c r="C48" s="20" t="s">
        <v>126</v>
      </c>
      <c r="D48" s="50" t="s">
        <v>38</v>
      </c>
      <c r="E48" s="50" t="s">
        <v>41</v>
      </c>
      <c r="F48" s="51" t="s">
        <v>163</v>
      </c>
      <c r="G48" s="17" t="s">
        <v>53</v>
      </c>
      <c r="H48" s="52"/>
      <c r="I48" s="52"/>
      <c r="J48" s="52"/>
      <c r="K48" s="53">
        <f t="shared" si="1"/>
        <v>0</v>
      </c>
      <c r="L48" s="54"/>
      <c r="M48" s="8"/>
    </row>
    <row r="49" spans="1:13" s="9" customFormat="1" ht="54.75" customHeight="1">
      <c r="A49" s="50" t="s">
        <v>0</v>
      </c>
      <c r="B49" s="57" t="s">
        <v>127</v>
      </c>
      <c r="C49" s="20" t="s">
        <v>126</v>
      </c>
      <c r="D49" s="50" t="s">
        <v>38</v>
      </c>
      <c r="E49" s="51" t="s">
        <v>255</v>
      </c>
      <c r="F49" s="51" t="s">
        <v>67</v>
      </c>
      <c r="G49" s="17" t="s">
        <v>53</v>
      </c>
      <c r="H49" s="52">
        <f>1896.4-96.35-88.21-131.37</f>
        <v>1580.4700000000003</v>
      </c>
      <c r="I49" s="52">
        <f>1896.4</f>
        <v>1896.4</v>
      </c>
      <c r="J49" s="52">
        <f>1896.4</f>
        <v>1896.4</v>
      </c>
      <c r="K49" s="53">
        <f t="shared" si="1"/>
        <v>5373.27</v>
      </c>
      <c r="L49" s="54"/>
      <c r="M49" s="8"/>
    </row>
    <row r="50" spans="1:13" s="9" customFormat="1" ht="313.5" customHeight="1">
      <c r="A50" s="50" t="s">
        <v>92</v>
      </c>
      <c r="B50" s="30" t="s">
        <v>58</v>
      </c>
      <c r="C50" s="20" t="s">
        <v>126</v>
      </c>
      <c r="D50" s="50" t="s">
        <v>38</v>
      </c>
      <c r="E50" s="51" t="s">
        <v>69</v>
      </c>
      <c r="F50" s="51" t="s">
        <v>137</v>
      </c>
      <c r="G50" s="56" t="s">
        <v>53</v>
      </c>
      <c r="H50" s="52">
        <f>3496.95+1757.6+77+2.7</f>
        <v>5334.249999999999</v>
      </c>
      <c r="I50" s="52">
        <f>3496.95+1757.6</f>
        <v>5254.549999999999</v>
      </c>
      <c r="J50" s="52">
        <f>3496.95+1757.6</f>
        <v>5254.549999999999</v>
      </c>
      <c r="K50" s="53">
        <f t="shared" si="1"/>
        <v>15843.349999999999</v>
      </c>
      <c r="L50" s="54" t="s">
        <v>207</v>
      </c>
      <c r="M50" s="8"/>
    </row>
    <row r="51" spans="1:24" s="11" customFormat="1" ht="263.25" customHeight="1">
      <c r="A51" s="47" t="s">
        <v>165</v>
      </c>
      <c r="B51" s="58" t="s">
        <v>62</v>
      </c>
      <c r="C51" s="20" t="s">
        <v>126</v>
      </c>
      <c r="D51" s="50" t="s">
        <v>38</v>
      </c>
      <c r="E51" s="59">
        <v>702</v>
      </c>
      <c r="F51" s="36" t="s">
        <v>138</v>
      </c>
      <c r="G51" s="17" t="s">
        <v>116</v>
      </c>
      <c r="H51" s="60">
        <f>11097.4+15-347.3</f>
        <v>10765.1</v>
      </c>
      <c r="I51" s="60">
        <f>11097.4</f>
        <v>11097.4</v>
      </c>
      <c r="J51" s="60">
        <f>11097.4</f>
        <v>11097.4</v>
      </c>
      <c r="K51" s="53">
        <f t="shared" si="1"/>
        <v>32959.9</v>
      </c>
      <c r="L51" s="35" t="s">
        <v>215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12" s="7" customFormat="1" ht="192" customHeight="1">
      <c r="A52" s="16" t="s">
        <v>166</v>
      </c>
      <c r="B52" s="141" t="s">
        <v>59</v>
      </c>
      <c r="C52" s="20" t="s">
        <v>126</v>
      </c>
      <c r="D52" s="50" t="s">
        <v>38</v>
      </c>
      <c r="E52" s="50" t="s">
        <v>41</v>
      </c>
      <c r="F52" s="17" t="s">
        <v>139</v>
      </c>
      <c r="G52" s="17" t="s">
        <v>26</v>
      </c>
      <c r="H52" s="22">
        <f>18522.12-542.82+144.45+214.83-299.6-102.11-78.12-644.49+774.17+31.58+750.96+28.64</f>
        <v>18799.61</v>
      </c>
      <c r="I52" s="22">
        <f>18522.12</f>
        <v>18522.12</v>
      </c>
      <c r="J52" s="22">
        <f>18522.12</f>
        <v>18522.12</v>
      </c>
      <c r="K52" s="53">
        <f t="shared" si="1"/>
        <v>55843.84999999999</v>
      </c>
      <c r="L52" s="18" t="s">
        <v>48</v>
      </c>
    </row>
    <row r="53" spans="1:12" s="7" customFormat="1" ht="192" customHeight="1">
      <c r="A53" s="16" t="s">
        <v>149</v>
      </c>
      <c r="B53" s="141" t="s">
        <v>59</v>
      </c>
      <c r="C53" s="20" t="s">
        <v>126</v>
      </c>
      <c r="D53" s="50" t="s">
        <v>38</v>
      </c>
      <c r="E53" s="50" t="s">
        <v>41</v>
      </c>
      <c r="F53" s="17" t="s">
        <v>261</v>
      </c>
      <c r="G53" s="17" t="s">
        <v>26</v>
      </c>
      <c r="H53" s="22">
        <v>410.88</v>
      </c>
      <c r="I53" s="22">
        <v>0</v>
      </c>
      <c r="J53" s="22">
        <v>0</v>
      </c>
      <c r="K53" s="53">
        <f t="shared" si="1"/>
        <v>410.88</v>
      </c>
      <c r="L53" s="18" t="s">
        <v>48</v>
      </c>
    </row>
    <row r="54" spans="1:12" s="7" customFormat="1" ht="213.75" customHeight="1">
      <c r="A54" s="16" t="s">
        <v>150</v>
      </c>
      <c r="B54" s="31" t="s">
        <v>63</v>
      </c>
      <c r="C54" s="20" t="s">
        <v>126</v>
      </c>
      <c r="D54" s="50" t="s">
        <v>38</v>
      </c>
      <c r="E54" s="50" t="s">
        <v>41</v>
      </c>
      <c r="F54" s="17" t="s">
        <v>46</v>
      </c>
      <c r="G54" s="17" t="s">
        <v>26</v>
      </c>
      <c r="H54" s="22">
        <f>7866.61+3754.93-218.29+3731.3+13.41</f>
        <v>15147.96</v>
      </c>
      <c r="I54" s="61">
        <v>0</v>
      </c>
      <c r="J54" s="61">
        <v>0</v>
      </c>
      <c r="K54" s="53">
        <f t="shared" si="1"/>
        <v>15147.96</v>
      </c>
      <c r="L54" s="18" t="s">
        <v>48</v>
      </c>
    </row>
    <row r="55" spans="1:12" s="7" customFormat="1" ht="105" customHeight="1">
      <c r="A55" s="16" t="s">
        <v>151</v>
      </c>
      <c r="B55" s="31" t="s">
        <v>237</v>
      </c>
      <c r="C55" s="20" t="s">
        <v>126</v>
      </c>
      <c r="D55" s="16" t="s">
        <v>38</v>
      </c>
      <c r="E55" s="16" t="s">
        <v>39</v>
      </c>
      <c r="F55" s="17" t="s">
        <v>225</v>
      </c>
      <c r="G55" s="17" t="s">
        <v>26</v>
      </c>
      <c r="H55" s="22">
        <f>375.6+454.36+26.56+67.25-3.9+0.01</f>
        <v>919.88</v>
      </c>
      <c r="I55" s="22">
        <v>0</v>
      </c>
      <c r="J55" s="22">
        <v>0</v>
      </c>
      <c r="K55" s="23">
        <f>SUM(H55:J55)</f>
        <v>919.88</v>
      </c>
      <c r="L55" s="18"/>
    </row>
    <row r="56" spans="1:12" s="7" customFormat="1" ht="126" customHeight="1">
      <c r="A56" s="16" t="s">
        <v>229</v>
      </c>
      <c r="B56" s="31" t="s">
        <v>237</v>
      </c>
      <c r="C56" s="20" t="s">
        <v>126</v>
      </c>
      <c r="D56" s="16" t="s">
        <v>38</v>
      </c>
      <c r="E56" s="16" t="s">
        <v>39</v>
      </c>
      <c r="F56" s="17" t="s">
        <v>226</v>
      </c>
      <c r="G56" s="17" t="s">
        <v>26</v>
      </c>
      <c r="H56" s="22">
        <f>160.97+257.81+11.38-19.01-0.01</f>
        <v>411.14</v>
      </c>
      <c r="I56" s="22">
        <v>0</v>
      </c>
      <c r="J56" s="22">
        <v>0</v>
      </c>
      <c r="K56" s="23">
        <f>SUM(H56:J56)</f>
        <v>411.14</v>
      </c>
      <c r="L56" s="18"/>
    </row>
    <row r="57" spans="1:12" s="7" customFormat="1" ht="213.75" customHeight="1">
      <c r="A57" s="16" t="s">
        <v>152</v>
      </c>
      <c r="B57" s="31" t="s">
        <v>63</v>
      </c>
      <c r="C57" s="20" t="s">
        <v>126</v>
      </c>
      <c r="D57" s="50" t="s">
        <v>38</v>
      </c>
      <c r="E57" s="50" t="s">
        <v>41</v>
      </c>
      <c r="F57" s="17" t="s">
        <v>222</v>
      </c>
      <c r="G57" s="17" t="s">
        <v>26</v>
      </c>
      <c r="H57" s="22">
        <f>888.63+411.95+34.63+509.38</f>
        <v>1844.5900000000001</v>
      </c>
      <c r="I57" s="61">
        <v>0</v>
      </c>
      <c r="J57" s="61">
        <v>0</v>
      </c>
      <c r="K57" s="53">
        <f>SUM(H57:J57)</f>
        <v>1844.5900000000001</v>
      </c>
      <c r="L57" s="18" t="s">
        <v>48</v>
      </c>
    </row>
    <row r="58" spans="1:12" s="7" customFormat="1" ht="213.75" customHeight="1">
      <c r="A58" s="16" t="s">
        <v>167</v>
      </c>
      <c r="B58" s="31" t="s">
        <v>63</v>
      </c>
      <c r="C58" s="20" t="s">
        <v>126</v>
      </c>
      <c r="D58" s="50" t="s">
        <v>38</v>
      </c>
      <c r="E58" s="50" t="s">
        <v>41</v>
      </c>
      <c r="F58" s="17" t="s">
        <v>200</v>
      </c>
      <c r="G58" s="17" t="s">
        <v>26</v>
      </c>
      <c r="H58" s="22">
        <f>4608+2134.78-67.7-75+39.06</f>
        <v>6639.140000000001</v>
      </c>
      <c r="I58" s="61">
        <f>4608</f>
        <v>4608</v>
      </c>
      <c r="J58" s="61">
        <f>4608</f>
        <v>4608</v>
      </c>
      <c r="K58" s="53">
        <f t="shared" si="1"/>
        <v>15855.140000000001</v>
      </c>
      <c r="L58" s="18" t="s">
        <v>48</v>
      </c>
    </row>
    <row r="59" spans="1:12" s="3" customFormat="1" ht="128.25" customHeight="1">
      <c r="A59" s="16" t="s">
        <v>168</v>
      </c>
      <c r="B59" s="17" t="s">
        <v>240</v>
      </c>
      <c r="C59" s="20" t="s">
        <v>126</v>
      </c>
      <c r="D59" s="17"/>
      <c r="E59" s="17"/>
      <c r="F59" s="17"/>
      <c r="G59" s="17"/>
      <c r="H59" s="22">
        <f>17908.91+0.1+695.62+38+1068.82+479.47-235.22+198.63+18.73+22.5+145.28+191.55+132.38</f>
        <v>20664.769999999997</v>
      </c>
      <c r="I59" s="61">
        <v>18604.63</v>
      </c>
      <c r="J59" s="61">
        <v>18604.63</v>
      </c>
      <c r="K59" s="53">
        <f t="shared" si="1"/>
        <v>57874.03</v>
      </c>
      <c r="L59" s="18"/>
    </row>
    <row r="60" spans="1:12" s="7" customFormat="1" ht="373.5" customHeight="1">
      <c r="A60" s="32" t="s">
        <v>193</v>
      </c>
      <c r="B60" s="62" t="s">
        <v>247</v>
      </c>
      <c r="C60" s="20" t="s">
        <v>126</v>
      </c>
      <c r="D60" s="50" t="s">
        <v>38</v>
      </c>
      <c r="E60" s="36" t="s">
        <v>195</v>
      </c>
      <c r="F60" s="36" t="s">
        <v>235</v>
      </c>
      <c r="G60" s="17" t="s">
        <v>50</v>
      </c>
      <c r="H60" s="52">
        <v>211.5</v>
      </c>
      <c r="I60" s="52">
        <v>0</v>
      </c>
      <c r="J60" s="52">
        <v>0</v>
      </c>
      <c r="K60" s="53">
        <f t="shared" si="1"/>
        <v>211.5</v>
      </c>
      <c r="L60" s="54" t="s">
        <v>216</v>
      </c>
    </row>
    <row r="61" spans="1:12" s="7" customFormat="1" ht="276.75" customHeight="1">
      <c r="A61" s="32" t="s">
        <v>197</v>
      </c>
      <c r="B61" s="62" t="s">
        <v>247</v>
      </c>
      <c r="C61" s="20" t="s">
        <v>126</v>
      </c>
      <c r="D61" s="50" t="s">
        <v>38</v>
      </c>
      <c r="E61" s="36" t="s">
        <v>191</v>
      </c>
      <c r="F61" s="36" t="s">
        <v>235</v>
      </c>
      <c r="G61" s="17" t="s">
        <v>50</v>
      </c>
      <c r="H61" s="52">
        <v>3</v>
      </c>
      <c r="I61" s="52">
        <v>0</v>
      </c>
      <c r="J61" s="52">
        <v>0</v>
      </c>
      <c r="K61" s="53">
        <f t="shared" si="1"/>
        <v>3</v>
      </c>
      <c r="L61" s="54" t="s">
        <v>208</v>
      </c>
    </row>
    <row r="62" spans="1:12" s="7" customFormat="1" ht="369.75" customHeight="1">
      <c r="A62" s="47" t="s">
        <v>201</v>
      </c>
      <c r="B62" s="19" t="s">
        <v>194</v>
      </c>
      <c r="C62" s="20" t="s">
        <v>126</v>
      </c>
      <c r="D62" s="16" t="s">
        <v>38</v>
      </c>
      <c r="E62" s="42" t="s">
        <v>190</v>
      </c>
      <c r="F62" s="42" t="s">
        <v>209</v>
      </c>
      <c r="G62" s="17" t="s">
        <v>26</v>
      </c>
      <c r="H62" s="48">
        <v>1000</v>
      </c>
      <c r="I62" s="63"/>
      <c r="J62" s="63"/>
      <c r="K62" s="53">
        <f t="shared" si="1"/>
        <v>1000</v>
      </c>
      <c r="L62" s="54" t="s">
        <v>216</v>
      </c>
    </row>
    <row r="63" spans="1:12" s="7" customFormat="1" ht="159" customHeight="1">
      <c r="A63" s="47" t="s">
        <v>230</v>
      </c>
      <c r="B63" s="19" t="s">
        <v>248</v>
      </c>
      <c r="C63" s="20" t="s">
        <v>126</v>
      </c>
      <c r="D63" s="16" t="s">
        <v>38</v>
      </c>
      <c r="E63" s="42" t="s">
        <v>190</v>
      </c>
      <c r="F63" s="42" t="s">
        <v>209</v>
      </c>
      <c r="G63" s="17" t="s">
        <v>26</v>
      </c>
      <c r="H63" s="48">
        <v>10</v>
      </c>
      <c r="I63" s="63">
        <v>10</v>
      </c>
      <c r="J63" s="63">
        <v>10</v>
      </c>
      <c r="K63" s="53">
        <f t="shared" si="1"/>
        <v>30</v>
      </c>
      <c r="L63" s="36"/>
    </row>
    <row r="64" spans="1:12" s="7" customFormat="1" ht="166.5" customHeight="1">
      <c r="A64" s="47"/>
      <c r="B64" s="64" t="s">
        <v>259</v>
      </c>
      <c r="C64" s="20" t="s">
        <v>126</v>
      </c>
      <c r="D64" s="16" t="s">
        <v>38</v>
      </c>
      <c r="E64" s="42" t="s">
        <v>66</v>
      </c>
      <c r="F64" s="42" t="s">
        <v>250</v>
      </c>
      <c r="G64" s="17" t="s">
        <v>26</v>
      </c>
      <c r="H64" s="48">
        <v>10211.05</v>
      </c>
      <c r="I64" s="63"/>
      <c r="J64" s="63"/>
      <c r="K64" s="53"/>
      <c r="L64" s="36"/>
    </row>
    <row r="65" spans="1:12" s="7" customFormat="1" ht="170.25" customHeight="1">
      <c r="A65" s="47" t="s">
        <v>231</v>
      </c>
      <c r="B65" s="64" t="s">
        <v>260</v>
      </c>
      <c r="C65" s="20" t="s">
        <v>126</v>
      </c>
      <c r="D65" s="16" t="s">
        <v>38</v>
      </c>
      <c r="E65" s="42" t="s">
        <v>66</v>
      </c>
      <c r="F65" s="42" t="s">
        <v>249</v>
      </c>
      <c r="G65" s="17" t="s">
        <v>26</v>
      </c>
      <c r="H65" s="48">
        <f>102.11-28.03</f>
        <v>74.08</v>
      </c>
      <c r="I65" s="63"/>
      <c r="J65" s="63"/>
      <c r="K65" s="53">
        <f t="shared" si="1"/>
        <v>74.08</v>
      </c>
      <c r="L65" s="36"/>
    </row>
    <row r="66" spans="1:12" ht="18.75" customHeight="1">
      <c r="A66" s="156" t="s">
        <v>15</v>
      </c>
      <c r="B66" s="157"/>
      <c r="C66" s="65"/>
      <c r="D66" s="65"/>
      <c r="E66" s="65"/>
      <c r="F66" s="65"/>
      <c r="G66" s="66"/>
      <c r="H66" s="67">
        <f>SUM(H45:H65)</f>
        <v>368665.17000000004</v>
      </c>
      <c r="I66" s="67">
        <f>SUM(I45:I65)</f>
        <v>313043.25</v>
      </c>
      <c r="J66" s="67">
        <f>SUM(J45:J65)</f>
        <v>313043.25</v>
      </c>
      <c r="K66" s="67">
        <f>SUM(K45:K65)</f>
        <v>984540.6199999999</v>
      </c>
      <c r="L66" s="67">
        <f>SUM(L45:L61)</f>
        <v>0</v>
      </c>
    </row>
    <row r="67" spans="1:12" ht="42" customHeight="1">
      <c r="A67" s="158" t="s">
        <v>23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60"/>
    </row>
    <row r="68" spans="1:13" s="9" customFormat="1" ht="166.5" customHeight="1">
      <c r="A68" s="32" t="s">
        <v>24</v>
      </c>
      <c r="B68" s="68" t="s">
        <v>55</v>
      </c>
      <c r="C68" s="20" t="s">
        <v>126</v>
      </c>
      <c r="D68" s="50" t="s">
        <v>38</v>
      </c>
      <c r="E68" s="51" t="s">
        <v>172</v>
      </c>
      <c r="F68" s="51" t="s">
        <v>171</v>
      </c>
      <c r="G68" s="17" t="s">
        <v>26</v>
      </c>
      <c r="H68" s="69">
        <f>9530.3+240.67+37.5+275.6+84-40.51+187.74-265</f>
        <v>10050.3</v>
      </c>
      <c r="I68" s="69">
        <f>9530.3</f>
        <v>9530.3</v>
      </c>
      <c r="J68" s="69">
        <f>9530.3</f>
        <v>9530.3</v>
      </c>
      <c r="K68" s="70">
        <f aca="true" t="shared" si="2" ref="K68:K85">SUM(H68:J68)</f>
        <v>29110.899999999998</v>
      </c>
      <c r="L68" s="71" t="s">
        <v>125</v>
      </c>
      <c r="M68" s="8"/>
    </row>
    <row r="69" spans="1:13" s="9" customFormat="1" ht="195.75" customHeight="1">
      <c r="A69" s="16" t="s">
        <v>254</v>
      </c>
      <c r="B69" s="25" t="s">
        <v>251</v>
      </c>
      <c r="C69" s="20" t="s">
        <v>126</v>
      </c>
      <c r="D69" s="16" t="s">
        <v>38</v>
      </c>
      <c r="E69" s="16" t="s">
        <v>253</v>
      </c>
      <c r="F69" s="21" t="s">
        <v>252</v>
      </c>
      <c r="G69" s="28" t="s">
        <v>26</v>
      </c>
      <c r="H69" s="22">
        <f>84.04-33.54</f>
        <v>50.50000000000001</v>
      </c>
      <c r="I69" s="22"/>
      <c r="J69" s="22"/>
      <c r="K69" s="23">
        <f>SUM(H69:J69)</f>
        <v>50.50000000000001</v>
      </c>
      <c r="L69" s="29"/>
      <c r="M69" s="8"/>
    </row>
    <row r="70" spans="1:13" s="9" customFormat="1" ht="166.5" customHeight="1">
      <c r="A70" s="32" t="s">
        <v>217</v>
      </c>
      <c r="B70" s="30" t="s">
        <v>55</v>
      </c>
      <c r="C70" s="20" t="s">
        <v>126</v>
      </c>
      <c r="D70" s="50" t="s">
        <v>38</v>
      </c>
      <c r="E70" s="51" t="s">
        <v>105</v>
      </c>
      <c r="F70" s="51" t="s">
        <v>170</v>
      </c>
      <c r="G70" s="17" t="s">
        <v>26</v>
      </c>
      <c r="H70" s="69">
        <f>23.8</f>
        <v>23.8</v>
      </c>
      <c r="I70" s="69">
        <f>23.8</f>
        <v>23.8</v>
      </c>
      <c r="J70" s="69">
        <f>23.8</f>
        <v>23.8</v>
      </c>
      <c r="K70" s="70">
        <f t="shared" si="2"/>
        <v>71.4</v>
      </c>
      <c r="L70" s="71" t="s">
        <v>125</v>
      </c>
      <c r="M70" s="8"/>
    </row>
    <row r="71" spans="1:13" s="9" customFormat="1" ht="166.5" customHeight="1">
      <c r="A71" s="32" t="s">
        <v>174</v>
      </c>
      <c r="B71" s="68" t="s">
        <v>55</v>
      </c>
      <c r="C71" s="20" t="s">
        <v>126</v>
      </c>
      <c r="D71" s="50" t="s">
        <v>38</v>
      </c>
      <c r="E71" s="51" t="s">
        <v>105</v>
      </c>
      <c r="F71" s="51" t="s">
        <v>147</v>
      </c>
      <c r="G71" s="17" t="s">
        <v>26</v>
      </c>
      <c r="H71" s="69">
        <f>10744.85</f>
        <v>10744.85</v>
      </c>
      <c r="I71" s="69">
        <f>10744.85</f>
        <v>10744.85</v>
      </c>
      <c r="J71" s="69">
        <f>10744.85</f>
        <v>10744.85</v>
      </c>
      <c r="K71" s="70">
        <f t="shared" si="2"/>
        <v>32234.550000000003</v>
      </c>
      <c r="L71" s="71" t="s">
        <v>125</v>
      </c>
      <c r="M71" s="8"/>
    </row>
    <row r="72" spans="1:13" s="9" customFormat="1" ht="166.5" customHeight="1">
      <c r="A72" s="32" t="s">
        <v>175</v>
      </c>
      <c r="B72" s="56" t="s">
        <v>154</v>
      </c>
      <c r="C72" s="20" t="s">
        <v>126</v>
      </c>
      <c r="D72" s="50" t="s">
        <v>38</v>
      </c>
      <c r="E72" s="51" t="s">
        <v>172</v>
      </c>
      <c r="F72" s="51" t="s">
        <v>173</v>
      </c>
      <c r="G72" s="17" t="s">
        <v>169</v>
      </c>
      <c r="H72" s="69"/>
      <c r="I72" s="69"/>
      <c r="J72" s="69"/>
      <c r="K72" s="70">
        <f t="shared" si="2"/>
        <v>0</v>
      </c>
      <c r="L72" s="71" t="s">
        <v>125</v>
      </c>
      <c r="M72" s="8"/>
    </row>
    <row r="73" spans="1:13" s="9" customFormat="1" ht="150" customHeight="1">
      <c r="A73" s="32" t="s">
        <v>176</v>
      </c>
      <c r="B73" s="56" t="s">
        <v>58</v>
      </c>
      <c r="C73" s="20" t="s">
        <v>126</v>
      </c>
      <c r="D73" s="32" t="s">
        <v>38</v>
      </c>
      <c r="E73" s="72" t="s">
        <v>109</v>
      </c>
      <c r="F73" s="72" t="s">
        <v>140</v>
      </c>
      <c r="G73" s="17" t="s">
        <v>26</v>
      </c>
      <c r="H73" s="69">
        <f>3420.6+29.68-2333.88-39.04</f>
        <v>1077.3599999999997</v>
      </c>
      <c r="I73" s="69">
        <f>3420.6+29.68-2333.88</f>
        <v>1116.3999999999996</v>
      </c>
      <c r="J73" s="69">
        <f>3420.6+29.68-2333.88</f>
        <v>1116.3999999999996</v>
      </c>
      <c r="K73" s="70">
        <f t="shared" si="2"/>
        <v>3310.159999999999</v>
      </c>
      <c r="L73" s="71" t="s">
        <v>125</v>
      </c>
      <c r="M73" s="8"/>
    </row>
    <row r="74" spans="1:13" s="9" customFormat="1" ht="150" customHeight="1">
      <c r="A74" s="32" t="s">
        <v>177</v>
      </c>
      <c r="B74" s="30" t="s">
        <v>58</v>
      </c>
      <c r="C74" s="20" t="s">
        <v>126</v>
      </c>
      <c r="D74" s="32" t="s">
        <v>38</v>
      </c>
      <c r="E74" s="72" t="s">
        <v>109</v>
      </c>
      <c r="F74" s="72" t="s">
        <v>148</v>
      </c>
      <c r="G74" s="17" t="s">
        <v>26</v>
      </c>
      <c r="H74" s="69">
        <f>2333.88</f>
        <v>2333.88</v>
      </c>
      <c r="I74" s="69">
        <f>2333.88</f>
        <v>2333.88</v>
      </c>
      <c r="J74" s="69">
        <f>2333.88</f>
        <v>2333.88</v>
      </c>
      <c r="K74" s="70">
        <f t="shared" si="2"/>
        <v>7001.64</v>
      </c>
      <c r="L74" s="71" t="s">
        <v>125</v>
      </c>
      <c r="M74" s="8"/>
    </row>
    <row r="75" spans="1:12" s="7" customFormat="1" ht="202.5" customHeight="1">
      <c r="A75" s="32" t="s">
        <v>178</v>
      </c>
      <c r="B75" s="31" t="s">
        <v>59</v>
      </c>
      <c r="C75" s="20" t="s">
        <v>126</v>
      </c>
      <c r="D75" s="32" t="s">
        <v>38</v>
      </c>
      <c r="E75" s="72" t="s">
        <v>106</v>
      </c>
      <c r="F75" s="17" t="s">
        <v>141</v>
      </c>
      <c r="G75" s="17" t="s">
        <v>26</v>
      </c>
      <c r="H75" s="22">
        <f>2484.88+588.5+1647.2-123.68+39.06+104.16-110.67+71.37+111.97+37.86+45.57+56.54+109.53-5.21</f>
        <v>5057.079999999999</v>
      </c>
      <c r="I75" s="22">
        <f>2484.88+588.5+1647.2</f>
        <v>4720.58</v>
      </c>
      <c r="J75" s="22">
        <f>4720.58</f>
        <v>4720.58</v>
      </c>
      <c r="K75" s="70">
        <f t="shared" si="2"/>
        <v>14498.24</v>
      </c>
      <c r="L75" s="18" t="s">
        <v>49</v>
      </c>
    </row>
    <row r="76" spans="1:12" s="7" customFormat="1" ht="105" customHeight="1">
      <c r="A76" s="16" t="s">
        <v>179</v>
      </c>
      <c r="B76" s="31" t="s">
        <v>237</v>
      </c>
      <c r="C76" s="20" t="s">
        <v>126</v>
      </c>
      <c r="D76" s="16" t="s">
        <v>38</v>
      </c>
      <c r="E76" s="16" t="s">
        <v>39</v>
      </c>
      <c r="F76" s="17" t="s">
        <v>225</v>
      </c>
      <c r="G76" s="17" t="s">
        <v>26</v>
      </c>
      <c r="H76" s="22">
        <f>153.87+1.65</f>
        <v>155.52</v>
      </c>
      <c r="I76" s="22">
        <v>0</v>
      </c>
      <c r="J76" s="22">
        <v>0</v>
      </c>
      <c r="K76" s="23">
        <f>SUM(H76:J76)</f>
        <v>155.52</v>
      </c>
      <c r="L76" s="18"/>
    </row>
    <row r="77" spans="1:12" s="7" customFormat="1" ht="126" customHeight="1">
      <c r="A77" s="16" t="s">
        <v>180</v>
      </c>
      <c r="B77" s="31" t="s">
        <v>237</v>
      </c>
      <c r="C77" s="20" t="s">
        <v>126</v>
      </c>
      <c r="D77" s="16" t="s">
        <v>38</v>
      </c>
      <c r="E77" s="16" t="s">
        <v>39</v>
      </c>
      <c r="F77" s="17" t="s">
        <v>226</v>
      </c>
      <c r="G77" s="17" t="s">
        <v>26</v>
      </c>
      <c r="H77" s="22">
        <f>65.95+30.71-30</f>
        <v>66.66</v>
      </c>
      <c r="I77" s="22">
        <v>0</v>
      </c>
      <c r="J77" s="22">
        <v>0</v>
      </c>
      <c r="K77" s="23">
        <f>SUM(H77:J77)</f>
        <v>66.66</v>
      </c>
      <c r="L77" s="18"/>
    </row>
    <row r="78" spans="1:12" s="7" customFormat="1" ht="214.5" customHeight="1">
      <c r="A78" s="32" t="s">
        <v>181</v>
      </c>
      <c r="B78" s="31" t="s">
        <v>63</v>
      </c>
      <c r="C78" s="20" t="s">
        <v>126</v>
      </c>
      <c r="D78" s="32" t="s">
        <v>38</v>
      </c>
      <c r="E78" s="72" t="s">
        <v>107</v>
      </c>
      <c r="F78" s="17" t="s">
        <v>47</v>
      </c>
      <c r="G78" s="17" t="s">
        <v>26</v>
      </c>
      <c r="H78" s="22">
        <f>1807.21+1535.83-48.48+39.06+109.04+775.82+4.17</f>
        <v>4222.65</v>
      </c>
      <c r="I78" s="61">
        <v>0</v>
      </c>
      <c r="J78" s="61">
        <v>0</v>
      </c>
      <c r="K78" s="70">
        <f t="shared" si="2"/>
        <v>4222.65</v>
      </c>
      <c r="L78" s="18" t="s">
        <v>49</v>
      </c>
    </row>
    <row r="79" spans="1:12" s="7" customFormat="1" ht="214.5" customHeight="1">
      <c r="A79" s="32" t="s">
        <v>182</v>
      </c>
      <c r="B79" s="31" t="s">
        <v>63</v>
      </c>
      <c r="C79" s="20" t="s">
        <v>126</v>
      </c>
      <c r="D79" s="32" t="s">
        <v>38</v>
      </c>
      <c r="E79" s="72" t="s">
        <v>107</v>
      </c>
      <c r="F79" s="17" t="s">
        <v>223</v>
      </c>
      <c r="G79" s="17" t="s">
        <v>26</v>
      </c>
      <c r="H79" s="22">
        <f>204.17+175.16+10.42+9.11+11.72+97.06</f>
        <v>507.64000000000004</v>
      </c>
      <c r="I79" s="61">
        <v>0</v>
      </c>
      <c r="J79" s="61">
        <v>0</v>
      </c>
      <c r="K79" s="70">
        <f>SUM(H79:J79)</f>
        <v>507.64000000000004</v>
      </c>
      <c r="L79" s="18" t="s">
        <v>49</v>
      </c>
    </row>
    <row r="80" spans="1:12" s="7" customFormat="1" ht="214.5" customHeight="1">
      <c r="A80" s="32" t="s">
        <v>183</v>
      </c>
      <c r="B80" s="31" t="s">
        <v>63</v>
      </c>
      <c r="C80" s="20" t="s">
        <v>126</v>
      </c>
      <c r="D80" s="32" t="s">
        <v>38</v>
      </c>
      <c r="E80" s="72" t="s">
        <v>107</v>
      </c>
      <c r="F80" s="17" t="s">
        <v>265</v>
      </c>
      <c r="G80" s="17" t="s">
        <v>26</v>
      </c>
      <c r="H80" s="22">
        <f>105.03</f>
        <v>105.03</v>
      </c>
      <c r="I80" s="61">
        <v>0</v>
      </c>
      <c r="J80" s="61">
        <v>0</v>
      </c>
      <c r="K80" s="70">
        <f>SUM(H80:J80)</f>
        <v>105.03</v>
      </c>
      <c r="L80" s="18" t="s">
        <v>49</v>
      </c>
    </row>
    <row r="81" spans="1:12" s="7" customFormat="1" ht="214.5" customHeight="1">
      <c r="A81" s="32" t="s">
        <v>218</v>
      </c>
      <c r="B81" s="31" t="s">
        <v>63</v>
      </c>
      <c r="C81" s="20" t="s">
        <v>126</v>
      </c>
      <c r="D81" s="32" t="s">
        <v>38</v>
      </c>
      <c r="E81" s="72" t="s">
        <v>107</v>
      </c>
      <c r="F81" s="17" t="s">
        <v>202</v>
      </c>
      <c r="G81" s="17" t="s">
        <v>26</v>
      </c>
      <c r="H81" s="22">
        <f>652.36+556.51+151.44+455.55-26.04+93.74+19.53</f>
        <v>1903.09</v>
      </c>
      <c r="I81" s="61">
        <f>652.36+556.51+151.44</f>
        <v>1360.31</v>
      </c>
      <c r="J81" s="61">
        <f>652.36+556.51+151.44</f>
        <v>1360.31</v>
      </c>
      <c r="K81" s="70">
        <f t="shared" si="2"/>
        <v>4623.709999999999</v>
      </c>
      <c r="L81" s="18" t="s">
        <v>49</v>
      </c>
    </row>
    <row r="82" spans="1:12" s="8" customFormat="1" ht="135" customHeight="1">
      <c r="A82" s="32" t="s">
        <v>232</v>
      </c>
      <c r="B82" s="54" t="s">
        <v>64</v>
      </c>
      <c r="C82" s="20" t="s">
        <v>126</v>
      </c>
      <c r="D82" s="32" t="s">
        <v>38</v>
      </c>
      <c r="E82" s="72" t="s">
        <v>108</v>
      </c>
      <c r="F82" s="17" t="s">
        <v>142</v>
      </c>
      <c r="G82" s="17" t="s">
        <v>26</v>
      </c>
      <c r="H82" s="73">
        <v>0</v>
      </c>
      <c r="I82" s="73">
        <v>0</v>
      </c>
      <c r="J82" s="73">
        <v>0</v>
      </c>
      <c r="K82" s="70">
        <f t="shared" si="2"/>
        <v>0</v>
      </c>
      <c r="L82" s="54" t="s">
        <v>37</v>
      </c>
    </row>
    <row r="83" spans="1:12" ht="231.75" customHeight="1">
      <c r="A83" s="32" t="s">
        <v>233</v>
      </c>
      <c r="B83" s="55" t="s">
        <v>65</v>
      </c>
      <c r="C83" s="20" t="s">
        <v>126</v>
      </c>
      <c r="D83" s="32" t="s">
        <v>38</v>
      </c>
      <c r="E83" s="72" t="s">
        <v>108</v>
      </c>
      <c r="F83" s="21" t="s">
        <v>143</v>
      </c>
      <c r="G83" s="17" t="s">
        <v>26</v>
      </c>
      <c r="H83" s="73">
        <v>1066.2</v>
      </c>
      <c r="I83" s="73">
        <v>1066.2</v>
      </c>
      <c r="J83" s="73">
        <v>1066.2</v>
      </c>
      <c r="K83" s="70">
        <f t="shared" si="2"/>
        <v>3198.6000000000004</v>
      </c>
      <c r="L83" s="54" t="s">
        <v>103</v>
      </c>
    </row>
    <row r="84" spans="1:12" s="8" customFormat="1" ht="126" customHeight="1">
      <c r="A84" s="32" t="s">
        <v>234</v>
      </c>
      <c r="B84" s="55" t="s">
        <v>119</v>
      </c>
      <c r="C84" s="20" t="s">
        <v>126</v>
      </c>
      <c r="D84" s="32" t="s">
        <v>38</v>
      </c>
      <c r="E84" s="72" t="s">
        <v>108</v>
      </c>
      <c r="F84" s="21" t="s">
        <v>130</v>
      </c>
      <c r="G84" s="17" t="s">
        <v>26</v>
      </c>
      <c r="H84" s="73">
        <f>859.3+859.3</f>
        <v>1718.6</v>
      </c>
      <c r="I84" s="73">
        <v>0</v>
      </c>
      <c r="J84" s="73">
        <v>0</v>
      </c>
      <c r="K84" s="70">
        <f t="shared" si="2"/>
        <v>1718.6</v>
      </c>
      <c r="L84" s="54" t="s">
        <v>129</v>
      </c>
    </row>
    <row r="85" spans="1:12" ht="78" customHeight="1">
      <c r="A85" s="32" t="s">
        <v>264</v>
      </c>
      <c r="B85" s="54" t="s">
        <v>241</v>
      </c>
      <c r="C85" s="20" t="s">
        <v>126</v>
      </c>
      <c r="D85" s="32" t="s">
        <v>38</v>
      </c>
      <c r="E85" s="32"/>
      <c r="F85" s="144"/>
      <c r="G85" s="145"/>
      <c r="H85" s="73">
        <f>1505.59+600-246.68+557.35+100+807.62-78.75+1102.2</f>
        <v>4347.33</v>
      </c>
      <c r="I85" s="73">
        <v>1505.59</v>
      </c>
      <c r="J85" s="73">
        <v>1505.59</v>
      </c>
      <c r="K85" s="70">
        <f t="shared" si="2"/>
        <v>7358.51</v>
      </c>
      <c r="L85" s="54"/>
    </row>
    <row r="86" spans="1:12" ht="15.75">
      <c r="A86" s="74"/>
      <c r="B86" s="75" t="s">
        <v>28</v>
      </c>
      <c r="C86" s="75"/>
      <c r="D86" s="76"/>
      <c r="E86" s="76"/>
      <c r="F86" s="76"/>
      <c r="G86" s="76"/>
      <c r="H86" s="77">
        <f>SUM(H68:H85)</f>
        <v>43430.48999999999</v>
      </c>
      <c r="I86" s="77">
        <f>SUM(I68:I85)</f>
        <v>32401.91</v>
      </c>
      <c r="J86" s="77">
        <f>SUM(J68:J85)</f>
        <v>32401.91</v>
      </c>
      <c r="K86" s="77">
        <f>SUM(K68:K85)</f>
        <v>108234.31000000001</v>
      </c>
      <c r="L86" s="75"/>
    </row>
    <row r="87" spans="1:13" ht="45" customHeight="1">
      <c r="A87" s="146" t="s">
        <v>33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8"/>
      <c r="M87" s="6"/>
    </row>
    <row r="88" spans="1:12" s="8" customFormat="1" ht="150.75" customHeight="1">
      <c r="A88" s="32" t="s">
        <v>93</v>
      </c>
      <c r="B88" s="35" t="s">
        <v>112</v>
      </c>
      <c r="C88" s="20" t="s">
        <v>126</v>
      </c>
      <c r="D88" s="50" t="s">
        <v>38</v>
      </c>
      <c r="E88" s="50" t="s">
        <v>41</v>
      </c>
      <c r="F88" s="36" t="s">
        <v>144</v>
      </c>
      <c r="G88" s="17" t="s">
        <v>26</v>
      </c>
      <c r="H88" s="22">
        <f>1200+873.7-62.84</f>
        <v>2010.86</v>
      </c>
      <c r="I88" s="24">
        <v>1200</v>
      </c>
      <c r="J88" s="24">
        <v>1200</v>
      </c>
      <c r="K88" s="78">
        <f>SUM(H88:J88)</f>
        <v>4410.86</v>
      </c>
      <c r="L88" s="56" t="s">
        <v>242</v>
      </c>
    </row>
    <row r="89" spans="1:12" s="8" customFormat="1" ht="150" customHeight="1">
      <c r="A89" s="32" t="s">
        <v>94</v>
      </c>
      <c r="B89" s="35" t="s">
        <v>115</v>
      </c>
      <c r="C89" s="20" t="s">
        <v>126</v>
      </c>
      <c r="D89" s="50" t="s">
        <v>38</v>
      </c>
      <c r="E89" s="51" t="s">
        <v>196</v>
      </c>
      <c r="F89" s="36" t="s">
        <v>145</v>
      </c>
      <c r="G89" s="17" t="s">
        <v>26</v>
      </c>
      <c r="H89" s="22">
        <f>2102.9+62.84-9.42</f>
        <v>2156.32</v>
      </c>
      <c r="I89" s="22">
        <f>2102.9</f>
        <v>2102.9</v>
      </c>
      <c r="J89" s="22">
        <f>2102.9</f>
        <v>2102.9</v>
      </c>
      <c r="K89" s="78">
        <f>SUM(H89:J89)</f>
        <v>6362.120000000001</v>
      </c>
      <c r="L89" s="56" t="s">
        <v>243</v>
      </c>
    </row>
    <row r="90" spans="1:12" s="8" customFormat="1" ht="246" customHeight="1">
      <c r="A90" s="32" t="s">
        <v>203</v>
      </c>
      <c r="B90" s="57" t="s">
        <v>70</v>
      </c>
      <c r="C90" s="20" t="s">
        <v>126</v>
      </c>
      <c r="D90" s="50" t="s">
        <v>38</v>
      </c>
      <c r="E90" s="50" t="s">
        <v>41</v>
      </c>
      <c r="F90" s="36" t="s">
        <v>128</v>
      </c>
      <c r="G90" s="17" t="s">
        <v>26</v>
      </c>
      <c r="H90" s="37">
        <f>90.3-15.11-75.19</f>
        <v>0</v>
      </c>
      <c r="I90" s="79">
        <v>90.3</v>
      </c>
      <c r="J90" s="79">
        <v>90.3</v>
      </c>
      <c r="K90" s="78">
        <f>SUM(H90:J90)</f>
        <v>180.6</v>
      </c>
      <c r="L90" s="56" t="s">
        <v>219</v>
      </c>
    </row>
    <row r="91" spans="1:12" s="8" customFormat="1" ht="241.5" customHeight="1">
      <c r="A91" s="32" t="s">
        <v>204</v>
      </c>
      <c r="B91" s="35" t="s">
        <v>186</v>
      </c>
      <c r="C91" s="20" t="s">
        <v>126</v>
      </c>
      <c r="D91" s="50" t="s">
        <v>38</v>
      </c>
      <c r="E91" s="50" t="s">
        <v>41</v>
      </c>
      <c r="F91" s="36" t="s">
        <v>146</v>
      </c>
      <c r="G91" s="17" t="s">
        <v>26</v>
      </c>
      <c r="H91" s="22">
        <v>1510.8</v>
      </c>
      <c r="I91" s="24"/>
      <c r="J91" s="24"/>
      <c r="K91" s="78">
        <f>SUM(H91:J91)</f>
        <v>1510.8</v>
      </c>
      <c r="L91" s="35" t="s">
        <v>51</v>
      </c>
    </row>
    <row r="92" spans="1:12" s="8" customFormat="1" ht="246" customHeight="1">
      <c r="A92" s="32" t="s">
        <v>188</v>
      </c>
      <c r="B92" s="35" t="s">
        <v>187</v>
      </c>
      <c r="C92" s="20" t="s">
        <v>126</v>
      </c>
      <c r="D92" s="50" t="s">
        <v>38</v>
      </c>
      <c r="E92" s="50" t="s">
        <v>41</v>
      </c>
      <c r="F92" s="36" t="s">
        <v>189</v>
      </c>
      <c r="G92" s="17" t="s">
        <v>26</v>
      </c>
      <c r="H92" s="22">
        <v>15.11</v>
      </c>
      <c r="I92" s="24"/>
      <c r="J92" s="24"/>
      <c r="K92" s="78">
        <f>SUM(H92:J92)</f>
        <v>15.11</v>
      </c>
      <c r="L92" s="35" t="s">
        <v>51</v>
      </c>
    </row>
    <row r="93" spans="1:12" ht="15.75">
      <c r="A93" s="75"/>
      <c r="B93" s="75" t="s">
        <v>42</v>
      </c>
      <c r="C93" s="75"/>
      <c r="D93" s="75"/>
      <c r="E93" s="75"/>
      <c r="F93" s="75"/>
      <c r="G93" s="75"/>
      <c r="H93" s="80">
        <f>SUM(H88:H92)</f>
        <v>5693.09</v>
      </c>
      <c r="I93" s="80">
        <f>SUM(I88:I92)</f>
        <v>3393.2000000000003</v>
      </c>
      <c r="J93" s="80">
        <f>SUM(J88:J92)</f>
        <v>3393.2000000000003</v>
      </c>
      <c r="K93" s="80">
        <f>SUM(K88:K92)</f>
        <v>12479.49</v>
      </c>
      <c r="L93" s="80">
        <f>SUM(L88:L92)</f>
        <v>0</v>
      </c>
    </row>
    <row r="94" spans="1:13" ht="60.75" customHeight="1">
      <c r="A94" s="146" t="s">
        <v>244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8"/>
      <c r="M94" s="6"/>
    </row>
    <row r="95" spans="1:12" ht="165.75" customHeight="1">
      <c r="A95" s="81" t="s">
        <v>95</v>
      </c>
      <c r="B95" s="82" t="s">
        <v>29</v>
      </c>
      <c r="C95" s="20" t="s">
        <v>126</v>
      </c>
      <c r="D95" s="50" t="s">
        <v>38</v>
      </c>
      <c r="E95" s="50" t="s">
        <v>41</v>
      </c>
      <c r="F95" s="83" t="s">
        <v>122</v>
      </c>
      <c r="G95" s="17" t="s">
        <v>26</v>
      </c>
      <c r="H95" s="37"/>
      <c r="I95" s="37"/>
      <c r="J95" s="37"/>
      <c r="K95" s="38">
        <f>SUM(H95:J95)</f>
        <v>0</v>
      </c>
      <c r="L95" s="82" t="s">
        <v>96</v>
      </c>
    </row>
    <row r="96" spans="1:12" ht="183.75" customHeight="1">
      <c r="A96" s="81" t="s">
        <v>99</v>
      </c>
      <c r="B96" s="56" t="s">
        <v>245</v>
      </c>
      <c r="C96" s="20" t="s">
        <v>126</v>
      </c>
      <c r="D96" s="50" t="s">
        <v>38</v>
      </c>
      <c r="E96" s="50" t="s">
        <v>41</v>
      </c>
      <c r="F96" s="83" t="s">
        <v>123</v>
      </c>
      <c r="G96" s="59"/>
      <c r="H96" s="22"/>
      <c r="I96" s="22"/>
      <c r="J96" s="22"/>
      <c r="K96" s="38">
        <f>SUM(H96:J96)</f>
        <v>0</v>
      </c>
      <c r="L96" s="56" t="s">
        <v>97</v>
      </c>
    </row>
    <row r="97" spans="1:12" s="8" customFormat="1" ht="130.5" customHeight="1">
      <c r="A97" s="69" t="s">
        <v>98</v>
      </c>
      <c r="B97" s="54" t="s">
        <v>43</v>
      </c>
      <c r="C97" s="20" t="s">
        <v>126</v>
      </c>
      <c r="D97" s="50" t="s">
        <v>38</v>
      </c>
      <c r="E97" s="50" t="s">
        <v>41</v>
      </c>
      <c r="F97" s="83" t="s">
        <v>124</v>
      </c>
      <c r="G97" s="17" t="s">
        <v>26</v>
      </c>
      <c r="H97" s="61"/>
      <c r="I97" s="61"/>
      <c r="J97" s="61"/>
      <c r="K97" s="38">
        <f>SUM(H97:J97)</f>
        <v>0</v>
      </c>
      <c r="L97" s="71" t="s">
        <v>102</v>
      </c>
    </row>
    <row r="98" spans="1:12" ht="15.75">
      <c r="A98" s="75"/>
      <c r="B98" s="75" t="s">
        <v>35</v>
      </c>
      <c r="C98" s="75"/>
      <c r="D98" s="75"/>
      <c r="E98" s="75"/>
      <c r="F98" s="75"/>
      <c r="G98" s="75"/>
      <c r="H98" s="80">
        <f>SUM(H95:H97)</f>
        <v>0</v>
      </c>
      <c r="I98" s="80">
        <f>SUM(I95:I97)</f>
        <v>0</v>
      </c>
      <c r="J98" s="80">
        <f>SUM(J95:J97)</f>
        <v>0</v>
      </c>
      <c r="K98" s="80">
        <f>SUM(K95:K97)</f>
        <v>0</v>
      </c>
      <c r="L98" s="75"/>
    </row>
    <row r="99" spans="1:13" ht="33.75" customHeight="1">
      <c r="A99" s="146" t="s">
        <v>104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8"/>
      <c r="M99" s="6"/>
    </row>
    <row r="100" spans="1:12" ht="104.25" customHeight="1">
      <c r="A100" s="84" t="s">
        <v>100</v>
      </c>
      <c r="B100" s="82" t="s">
        <v>30</v>
      </c>
      <c r="C100" s="20" t="s">
        <v>126</v>
      </c>
      <c r="D100" s="32" t="s">
        <v>38</v>
      </c>
      <c r="E100" s="32" t="s">
        <v>41</v>
      </c>
      <c r="F100" s="47" t="s">
        <v>36</v>
      </c>
      <c r="G100" s="17" t="s">
        <v>26</v>
      </c>
      <c r="H100" s="22">
        <v>0</v>
      </c>
      <c r="I100" s="22">
        <v>0</v>
      </c>
      <c r="J100" s="22"/>
      <c r="K100" s="23">
        <f>SUM(H100:J100)</f>
        <v>0</v>
      </c>
      <c r="L100" s="82" t="s">
        <v>31</v>
      </c>
    </row>
    <row r="101" spans="1:12" ht="91.5" customHeight="1">
      <c r="A101" s="85" t="s">
        <v>101</v>
      </c>
      <c r="B101" s="56" t="s">
        <v>32</v>
      </c>
      <c r="C101" s="20" t="s">
        <v>126</v>
      </c>
      <c r="D101" s="32" t="s">
        <v>38</v>
      </c>
      <c r="E101" s="85"/>
      <c r="F101" s="85"/>
      <c r="G101" s="85" t="s">
        <v>0</v>
      </c>
      <c r="H101" s="86"/>
      <c r="I101" s="86"/>
      <c r="J101" s="86"/>
      <c r="K101" s="23">
        <f>SUM(H101:J101)</f>
        <v>0</v>
      </c>
      <c r="L101" s="56" t="s">
        <v>246</v>
      </c>
    </row>
    <row r="102" spans="1:12" ht="15.75">
      <c r="A102" s="66"/>
      <c r="B102" s="87" t="s">
        <v>34</v>
      </c>
      <c r="C102" s="87"/>
      <c r="D102" s="66"/>
      <c r="E102" s="66"/>
      <c r="F102" s="66"/>
      <c r="G102" s="66"/>
      <c r="H102" s="67">
        <f>SUM(H100:H101)</f>
        <v>0</v>
      </c>
      <c r="I102" s="67">
        <f>SUM(I100:I101)</f>
        <v>0</v>
      </c>
      <c r="J102" s="67">
        <f>SUM(J100:J101)</f>
        <v>0</v>
      </c>
      <c r="K102" s="67">
        <f>SUM(K100:K101)</f>
        <v>0</v>
      </c>
      <c r="L102" s="66"/>
    </row>
    <row r="103" spans="1:12" ht="19.5" customHeight="1">
      <c r="A103" s="88"/>
      <c r="B103" s="66" t="s">
        <v>16</v>
      </c>
      <c r="C103" s="66"/>
      <c r="D103" s="66"/>
      <c r="E103" s="66"/>
      <c r="F103" s="66"/>
      <c r="G103" s="66"/>
      <c r="H103" s="67">
        <f>H32+H35+H39+H43+H66+H86+H93+H98+H102</f>
        <v>781916.9799999999</v>
      </c>
      <c r="I103" s="67">
        <f>I32+I35+I39+I43+I66+I86+I93+I98+I102</f>
        <v>660727.4400000001</v>
      </c>
      <c r="J103" s="67">
        <f>J32+J35+J39+J43+J66+J86+J93+J98+J102</f>
        <v>660727.4400000001</v>
      </c>
      <c r="K103" s="67">
        <f>K32+K35+K39+K43+K66+K86+K93+K98+K102</f>
        <v>2093160.8099999998</v>
      </c>
      <c r="L103" s="66"/>
    </row>
    <row r="104" spans="1:12" ht="31.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1:12" ht="15">
      <c r="A105" s="90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ht="15.75" hidden="1">
      <c r="A106" s="90"/>
      <c r="B106" s="149" t="s">
        <v>17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</row>
    <row r="107" spans="1:12" ht="15">
      <c r="A107" s="90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1:12" ht="15">
      <c r="A108" s="90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</sheetData>
  <sheetProtection/>
  <mergeCells count="30">
    <mergeCell ref="A1:L1"/>
    <mergeCell ref="F2:L2"/>
    <mergeCell ref="K3:L3"/>
    <mergeCell ref="A4:L4"/>
    <mergeCell ref="A5:L5"/>
    <mergeCell ref="K6:L6"/>
    <mergeCell ref="A7:L7"/>
    <mergeCell ref="A8:L8"/>
    <mergeCell ref="A9:L9"/>
    <mergeCell ref="A10:L10"/>
    <mergeCell ref="A11:L11"/>
    <mergeCell ref="A12:A13"/>
    <mergeCell ref="B12:B13"/>
    <mergeCell ref="D12:G12"/>
    <mergeCell ref="H12:J12"/>
    <mergeCell ref="K12:K13"/>
    <mergeCell ref="L12:L13"/>
    <mergeCell ref="A14:L14"/>
    <mergeCell ref="A15:L15"/>
    <mergeCell ref="A32:C32"/>
    <mergeCell ref="A33:L33"/>
    <mergeCell ref="A36:L36"/>
    <mergeCell ref="A99:L99"/>
    <mergeCell ref="B106:L106"/>
    <mergeCell ref="A40:L40"/>
    <mergeCell ref="A44:L44"/>
    <mergeCell ref="A66:B66"/>
    <mergeCell ref="A67:L67"/>
    <mergeCell ref="A87:L87"/>
    <mergeCell ref="A94:L9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"/>
  <sheetViews>
    <sheetView zoomScale="75" zoomScaleNormal="75" zoomScalePageLayoutView="0" workbookViewId="0" topLeftCell="A3">
      <selection activeCell="C6" sqref="C6"/>
    </sheetView>
  </sheetViews>
  <sheetFormatPr defaultColWidth="9.00390625" defaultRowHeight="12.75"/>
  <cols>
    <col min="1" max="1" width="5.375" style="92" customWidth="1"/>
    <col min="2" max="2" width="39.00390625" style="93" customWidth="1"/>
    <col min="3" max="3" width="15.625" style="93" customWidth="1"/>
    <col min="4" max="4" width="7.625" style="93" customWidth="1"/>
    <col min="5" max="5" width="8.75390625" style="93" customWidth="1"/>
    <col min="6" max="6" width="14.625" style="93" customWidth="1"/>
    <col min="7" max="7" width="6.125" style="93" customWidth="1"/>
    <col min="8" max="10" width="10.875" style="93" customWidth="1"/>
    <col min="11" max="11" width="12.875" style="93" customWidth="1"/>
    <col min="12" max="12" width="17.625" style="93" customWidth="1"/>
    <col min="13" max="13" width="11.00390625" style="0" bestFit="1" customWidth="1"/>
  </cols>
  <sheetData>
    <row r="1" spans="1:12" ht="21.75" customHeight="1" hidden="1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21.75" customHeight="1" hidden="1">
      <c r="A2" s="13"/>
      <c r="B2" s="14"/>
      <c r="C2" s="14"/>
      <c r="D2" s="14"/>
      <c r="E2" s="14"/>
      <c r="F2" s="177" t="s">
        <v>57</v>
      </c>
      <c r="G2" s="177"/>
      <c r="H2" s="177"/>
      <c r="I2" s="177"/>
      <c r="J2" s="177"/>
      <c r="K2" s="177"/>
      <c r="L2" s="177"/>
    </row>
    <row r="3" spans="1:12" ht="21.75" customHeight="1">
      <c r="A3" s="13"/>
      <c r="B3" s="15"/>
      <c r="C3" s="15"/>
      <c r="D3" s="15"/>
      <c r="E3" s="15"/>
      <c r="F3" s="15"/>
      <c r="G3" s="15"/>
      <c r="H3" s="15"/>
      <c r="I3" s="15"/>
      <c r="J3" s="15"/>
      <c r="K3" s="176" t="s">
        <v>256</v>
      </c>
      <c r="L3" s="176"/>
    </row>
    <row r="4" spans="1:12" ht="18.75" customHeight="1">
      <c r="A4" s="176" t="s">
        <v>257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3.5" customHeight="1">
      <c r="A5" s="176" t="s">
        <v>258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ht="21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76" t="s">
        <v>72</v>
      </c>
      <c r="L6" s="176"/>
    </row>
    <row r="7" spans="1:12" ht="18.75" customHeight="1">
      <c r="A7" s="176" t="s">
        <v>236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ht="13.5" customHeight="1">
      <c r="A8" s="176" t="s">
        <v>73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ht="15.75" customHeight="1">
      <c r="A9" s="176" t="s">
        <v>210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2" ht="15.7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ht="51.75" customHeight="1">
      <c r="A11" s="178" t="s">
        <v>71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80"/>
      <c r="L11" s="180"/>
    </row>
    <row r="12" spans="1:12" ht="40.5" customHeight="1">
      <c r="A12" s="181" t="s">
        <v>0</v>
      </c>
      <c r="B12" s="161" t="s">
        <v>2</v>
      </c>
      <c r="C12" s="17"/>
      <c r="D12" s="161" t="s">
        <v>4</v>
      </c>
      <c r="E12" s="161"/>
      <c r="F12" s="161"/>
      <c r="G12" s="161"/>
      <c r="H12" s="163"/>
      <c r="I12" s="169"/>
      <c r="J12" s="182"/>
      <c r="K12" s="161" t="s">
        <v>205</v>
      </c>
      <c r="L12" s="161" t="s">
        <v>8</v>
      </c>
    </row>
    <row r="13" spans="1:12" ht="40.5" customHeight="1">
      <c r="A13" s="181"/>
      <c r="B13" s="161"/>
      <c r="C13" s="17" t="s">
        <v>3</v>
      </c>
      <c r="D13" s="17" t="s">
        <v>3</v>
      </c>
      <c r="E13" s="17" t="s">
        <v>5</v>
      </c>
      <c r="F13" s="17" t="s">
        <v>6</v>
      </c>
      <c r="G13" s="17" t="s">
        <v>7</v>
      </c>
      <c r="H13" s="17">
        <v>2019</v>
      </c>
      <c r="I13" s="17">
        <v>2020</v>
      </c>
      <c r="J13" s="17">
        <v>2021</v>
      </c>
      <c r="K13" s="161"/>
      <c r="L13" s="161"/>
    </row>
    <row r="14" spans="1:12" s="3" customFormat="1" ht="18.75" customHeight="1">
      <c r="A14" s="162" t="s">
        <v>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ht="22.5" customHeight="1">
      <c r="A15" s="165" t="s">
        <v>18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2" s="7" customFormat="1" ht="385.5" customHeight="1">
      <c r="A16" s="102" t="s">
        <v>79</v>
      </c>
      <c r="B16" s="95" t="s">
        <v>117</v>
      </c>
      <c r="C16" s="96" t="s">
        <v>126</v>
      </c>
      <c r="D16" s="102" t="s">
        <v>38</v>
      </c>
      <c r="E16" s="102" t="s">
        <v>39</v>
      </c>
      <c r="F16" s="103" t="s">
        <v>153</v>
      </c>
      <c r="G16" s="98" t="s">
        <v>26</v>
      </c>
      <c r="H16" s="108">
        <f>136537.4+6579.2+7165.4+197.4+2763.7-5</f>
        <v>153238.1</v>
      </c>
      <c r="I16" s="108">
        <v>136537.4</v>
      </c>
      <c r="J16" s="108">
        <v>136537.4</v>
      </c>
      <c r="K16" s="105">
        <f aca="true" t="shared" si="0" ref="K16:K31">SUM(H16:J16)</f>
        <v>426312.9</v>
      </c>
      <c r="L16" s="98" t="s">
        <v>74</v>
      </c>
    </row>
    <row r="17" spans="1:12" s="7" customFormat="1" ht="372" customHeight="1">
      <c r="A17" s="102" t="s">
        <v>80</v>
      </c>
      <c r="B17" s="95" t="s">
        <v>192</v>
      </c>
      <c r="C17" s="96" t="s">
        <v>126</v>
      </c>
      <c r="D17" s="102" t="s">
        <v>38</v>
      </c>
      <c r="E17" s="102" t="s">
        <v>39</v>
      </c>
      <c r="F17" s="103" t="s">
        <v>184</v>
      </c>
      <c r="G17" s="98" t="s">
        <v>26</v>
      </c>
      <c r="H17" s="104">
        <f>63333.8+6818.5+2876.72+642.5+79.9</f>
        <v>73751.42</v>
      </c>
      <c r="I17" s="104">
        <v>63333.8</v>
      </c>
      <c r="J17" s="104">
        <v>63333.8</v>
      </c>
      <c r="K17" s="105">
        <f t="shared" si="0"/>
        <v>200419.02000000002</v>
      </c>
      <c r="L17" s="98" t="s">
        <v>74</v>
      </c>
    </row>
    <row r="18" spans="1:12" s="7" customFormat="1" ht="138" customHeight="1">
      <c r="A18" s="102" t="s">
        <v>81</v>
      </c>
      <c r="B18" s="115" t="s">
        <v>52</v>
      </c>
      <c r="C18" s="96" t="s">
        <v>126</v>
      </c>
      <c r="D18" s="116" t="s">
        <v>38</v>
      </c>
      <c r="E18" s="116" t="s">
        <v>39</v>
      </c>
      <c r="F18" s="117" t="s">
        <v>185</v>
      </c>
      <c r="G18" s="118" t="s">
        <v>26</v>
      </c>
      <c r="H18" s="104">
        <f>31062.66+1913.3-3+96.35-360+1857+12.79+40.51+121.28-42</f>
        <v>34698.89</v>
      </c>
      <c r="I18" s="104">
        <f>31062.66</f>
        <v>31062.66</v>
      </c>
      <c r="J18" s="104">
        <v>31062.66</v>
      </c>
      <c r="K18" s="105">
        <f t="shared" si="0"/>
        <v>96824.21</v>
      </c>
      <c r="L18" s="119" t="s">
        <v>75</v>
      </c>
    </row>
    <row r="19" spans="1:12" s="7" customFormat="1" ht="176.25" customHeight="1">
      <c r="A19" s="16" t="s">
        <v>82</v>
      </c>
      <c r="B19" s="25" t="s">
        <v>251</v>
      </c>
      <c r="C19" s="20" t="s">
        <v>126</v>
      </c>
      <c r="D19" s="26" t="s">
        <v>38</v>
      </c>
      <c r="E19" s="26" t="s">
        <v>39</v>
      </c>
      <c r="F19" s="27" t="s">
        <v>252</v>
      </c>
      <c r="G19" s="28" t="s">
        <v>26</v>
      </c>
      <c r="H19" s="24"/>
      <c r="I19" s="24"/>
      <c r="J19" s="24"/>
      <c r="K19" s="23">
        <f t="shared" si="0"/>
        <v>0</v>
      </c>
      <c r="L19" s="29"/>
    </row>
    <row r="20" spans="1:12" s="7" customFormat="1" ht="169.5" customHeight="1">
      <c r="A20" s="26" t="s">
        <v>155</v>
      </c>
      <c r="B20" s="25" t="s">
        <v>110</v>
      </c>
      <c r="C20" s="20" t="s">
        <v>126</v>
      </c>
      <c r="D20" s="26" t="s">
        <v>38</v>
      </c>
      <c r="E20" s="26" t="s">
        <v>39</v>
      </c>
      <c r="F20" s="27" t="s">
        <v>131</v>
      </c>
      <c r="G20" s="28" t="s">
        <v>26</v>
      </c>
      <c r="H20" s="24">
        <f>27592.6</f>
        <v>27592.6</v>
      </c>
      <c r="I20" s="24">
        <f>27592.6</f>
        <v>27592.6</v>
      </c>
      <c r="J20" s="24">
        <f>27592.6</f>
        <v>27592.6</v>
      </c>
      <c r="K20" s="23">
        <f t="shared" si="0"/>
        <v>82777.79999999999</v>
      </c>
      <c r="L20" s="29" t="s">
        <v>111</v>
      </c>
    </row>
    <row r="21" spans="1:12" s="7" customFormat="1" ht="166.5" customHeight="1">
      <c r="A21" s="116" t="s">
        <v>156</v>
      </c>
      <c r="B21" s="120" t="s">
        <v>58</v>
      </c>
      <c r="C21" s="96" t="s">
        <v>126</v>
      </c>
      <c r="D21" s="102" t="s">
        <v>38</v>
      </c>
      <c r="E21" s="102" t="s">
        <v>39</v>
      </c>
      <c r="F21" s="103" t="s">
        <v>132</v>
      </c>
      <c r="G21" s="98" t="s">
        <v>26</v>
      </c>
      <c r="H21" s="108">
        <f>2946.53+1196.72+46.66</f>
        <v>4189.91</v>
      </c>
      <c r="I21" s="108">
        <f>2946.53+1196.72</f>
        <v>4143.25</v>
      </c>
      <c r="J21" s="108">
        <f>2946.53+1196.72</f>
        <v>4143.25</v>
      </c>
      <c r="K21" s="105">
        <f t="shared" si="0"/>
        <v>12476.41</v>
      </c>
      <c r="L21" s="109" t="s">
        <v>75</v>
      </c>
    </row>
    <row r="22" spans="1:12" s="3" customFormat="1" ht="388.5" customHeight="1">
      <c r="A22" s="102" t="s">
        <v>157</v>
      </c>
      <c r="B22" s="107" t="s">
        <v>68</v>
      </c>
      <c r="C22" s="96" t="s">
        <v>126</v>
      </c>
      <c r="D22" s="102" t="s">
        <v>38</v>
      </c>
      <c r="E22" s="98">
        <v>1003</v>
      </c>
      <c r="F22" s="102" t="s">
        <v>133</v>
      </c>
      <c r="G22" s="98" t="s">
        <v>26</v>
      </c>
      <c r="H22" s="108">
        <f>504+119.2</f>
        <v>623.2</v>
      </c>
      <c r="I22" s="108">
        <v>504</v>
      </c>
      <c r="J22" s="108">
        <v>504</v>
      </c>
      <c r="K22" s="105">
        <f t="shared" si="0"/>
        <v>1631.2</v>
      </c>
      <c r="L22" s="109" t="s">
        <v>27</v>
      </c>
    </row>
    <row r="23" spans="1:13" s="7" customFormat="1" ht="195" customHeight="1">
      <c r="A23" s="102" t="s">
        <v>120</v>
      </c>
      <c r="B23" s="110" t="s">
        <v>59</v>
      </c>
      <c r="C23" s="96" t="s">
        <v>126</v>
      </c>
      <c r="D23" s="102" t="s">
        <v>38</v>
      </c>
      <c r="E23" s="102" t="s">
        <v>39</v>
      </c>
      <c r="F23" s="98" t="s">
        <v>134</v>
      </c>
      <c r="G23" s="98" t="s">
        <v>26</v>
      </c>
      <c r="H23" s="108">
        <f>15525.72-434.64-481.97+130.2+441.84-42.33-26.04-125.66-499.51+297.15+237.74+685.82-23.44</f>
        <v>15684.88</v>
      </c>
      <c r="I23" s="108">
        <f>15525.72</f>
        <v>15525.72</v>
      </c>
      <c r="J23" s="108">
        <f>15525.72</f>
        <v>15525.72</v>
      </c>
      <c r="K23" s="105">
        <f t="shared" si="0"/>
        <v>46736.32</v>
      </c>
      <c r="L23" s="109" t="s">
        <v>83</v>
      </c>
      <c r="M23" s="7" t="s">
        <v>25</v>
      </c>
    </row>
    <row r="24" spans="1:12" s="7" customFormat="1" ht="215.25" customHeight="1">
      <c r="A24" s="102" t="s">
        <v>121</v>
      </c>
      <c r="B24" s="107" t="s">
        <v>63</v>
      </c>
      <c r="C24" s="96" t="s">
        <v>126</v>
      </c>
      <c r="D24" s="102" t="s">
        <v>38</v>
      </c>
      <c r="E24" s="102" t="s">
        <v>39</v>
      </c>
      <c r="F24" s="98" t="s">
        <v>45</v>
      </c>
      <c r="G24" s="98" t="s">
        <v>26</v>
      </c>
      <c r="H24" s="108">
        <f>6620.77+3190.6-16.14+3048.77-17.58</f>
        <v>12826.420000000002</v>
      </c>
      <c r="I24" s="108">
        <v>0</v>
      </c>
      <c r="J24" s="108">
        <v>0</v>
      </c>
      <c r="K24" s="105">
        <f t="shared" si="0"/>
        <v>12826.420000000002</v>
      </c>
      <c r="L24" s="109" t="s">
        <v>83</v>
      </c>
    </row>
    <row r="25" spans="1:12" s="7" customFormat="1" ht="105" customHeight="1">
      <c r="A25" s="16" t="s">
        <v>199</v>
      </c>
      <c r="B25" s="31" t="s">
        <v>237</v>
      </c>
      <c r="C25" s="20" t="s">
        <v>126</v>
      </c>
      <c r="D25" s="16" t="s">
        <v>38</v>
      </c>
      <c r="E25" s="16" t="s">
        <v>39</v>
      </c>
      <c r="F25" s="17" t="s">
        <v>225</v>
      </c>
      <c r="G25" s="17" t="s">
        <v>26</v>
      </c>
      <c r="H25" s="22">
        <f>241.33+481.97+341.14-26.56+136.78+0.13+156.81</f>
        <v>1331.6000000000001</v>
      </c>
      <c r="I25" s="22">
        <v>0</v>
      </c>
      <c r="J25" s="22">
        <v>0</v>
      </c>
      <c r="K25" s="23">
        <f t="shared" si="0"/>
        <v>1331.6000000000001</v>
      </c>
      <c r="L25" s="18"/>
    </row>
    <row r="26" spans="1:12" s="7" customFormat="1" ht="126" customHeight="1">
      <c r="A26" s="16" t="s">
        <v>211</v>
      </c>
      <c r="B26" s="31" t="s">
        <v>237</v>
      </c>
      <c r="C26" s="20" t="s">
        <v>126</v>
      </c>
      <c r="D26" s="16" t="s">
        <v>38</v>
      </c>
      <c r="E26" s="16" t="s">
        <v>39</v>
      </c>
      <c r="F26" s="17" t="s">
        <v>226</v>
      </c>
      <c r="G26" s="17" t="s">
        <v>26</v>
      </c>
      <c r="H26" s="22">
        <f>103.43+397.76-11.38+42.2+21.76</f>
        <v>553.77</v>
      </c>
      <c r="I26" s="22">
        <v>0</v>
      </c>
      <c r="J26" s="22">
        <v>0</v>
      </c>
      <c r="K26" s="23">
        <f t="shared" si="0"/>
        <v>553.77</v>
      </c>
      <c r="L26" s="18"/>
    </row>
    <row r="27" spans="1:12" s="7" customFormat="1" ht="215.25" customHeight="1">
      <c r="A27" s="102" t="s">
        <v>212</v>
      </c>
      <c r="B27" s="107" t="s">
        <v>63</v>
      </c>
      <c r="C27" s="96" t="s">
        <v>126</v>
      </c>
      <c r="D27" s="102" t="s">
        <v>38</v>
      </c>
      <c r="E27" s="102" t="s">
        <v>39</v>
      </c>
      <c r="F27" s="98" t="s">
        <v>221</v>
      </c>
      <c r="G27" s="98" t="s">
        <v>26</v>
      </c>
      <c r="H27" s="108">
        <f>748.07+345.34+68.93+397.21</f>
        <v>1559.5500000000002</v>
      </c>
      <c r="I27" s="108">
        <v>0</v>
      </c>
      <c r="J27" s="108">
        <v>0</v>
      </c>
      <c r="K27" s="105">
        <f>SUM(H27:J27)</f>
        <v>1559.5500000000002</v>
      </c>
      <c r="L27" s="109" t="s">
        <v>83</v>
      </c>
    </row>
    <row r="28" spans="1:12" s="7" customFormat="1" ht="215.25" customHeight="1">
      <c r="A28" s="102" t="s">
        <v>220</v>
      </c>
      <c r="B28" s="107" t="s">
        <v>63</v>
      </c>
      <c r="C28" s="96" t="s">
        <v>126</v>
      </c>
      <c r="D28" s="102" t="s">
        <v>38</v>
      </c>
      <c r="E28" s="102" t="s">
        <v>39</v>
      </c>
      <c r="F28" s="98" t="s">
        <v>263</v>
      </c>
      <c r="G28" s="98" t="s">
        <v>26</v>
      </c>
      <c r="H28" s="108">
        <v>347.51</v>
      </c>
      <c r="I28" s="108">
        <v>0</v>
      </c>
      <c r="J28" s="108">
        <v>0</v>
      </c>
      <c r="K28" s="105">
        <f>SUM(H28:J28)</f>
        <v>347.51</v>
      </c>
      <c r="L28" s="109" t="s">
        <v>83</v>
      </c>
    </row>
    <row r="29" spans="1:12" s="7" customFormat="1" ht="215.25" customHeight="1">
      <c r="A29" s="102" t="s">
        <v>227</v>
      </c>
      <c r="B29" s="107" t="s">
        <v>63</v>
      </c>
      <c r="C29" s="96" t="s">
        <v>126</v>
      </c>
      <c r="D29" s="102" t="s">
        <v>38</v>
      </c>
      <c r="E29" s="102" t="s">
        <v>39</v>
      </c>
      <c r="F29" s="98" t="s">
        <v>198</v>
      </c>
      <c r="G29" s="98" t="s">
        <v>26</v>
      </c>
      <c r="H29" s="108">
        <f>4146.15+1529.57-58.59</f>
        <v>5617.129999999999</v>
      </c>
      <c r="I29" s="108">
        <f>4146.15</f>
        <v>4146.15</v>
      </c>
      <c r="J29" s="108">
        <f>4146.15</f>
        <v>4146.15</v>
      </c>
      <c r="K29" s="105">
        <f t="shared" si="0"/>
        <v>13909.429999999998</v>
      </c>
      <c r="L29" s="109" t="s">
        <v>83</v>
      </c>
    </row>
    <row r="30" spans="1:12" s="7" customFormat="1" ht="215.25" customHeight="1">
      <c r="A30" s="16" t="s">
        <v>228</v>
      </c>
      <c r="B30" s="31" t="s">
        <v>60</v>
      </c>
      <c r="C30" s="20" t="s">
        <v>126</v>
      </c>
      <c r="D30" s="16" t="s">
        <v>159</v>
      </c>
      <c r="E30" s="17">
        <v>1004</v>
      </c>
      <c r="F30" s="16" t="s">
        <v>135</v>
      </c>
      <c r="G30" s="17" t="s">
        <v>44</v>
      </c>
      <c r="H30" s="22">
        <v>5931.5</v>
      </c>
      <c r="I30" s="22">
        <v>5931.5</v>
      </c>
      <c r="J30" s="22">
        <v>5931.5</v>
      </c>
      <c r="K30" s="23">
        <f t="shared" si="0"/>
        <v>17794.5</v>
      </c>
      <c r="L30" s="18" t="s">
        <v>76</v>
      </c>
    </row>
    <row r="31" spans="1:12" s="7" customFormat="1" ht="171.75" customHeight="1">
      <c r="A31" s="102" t="s">
        <v>262</v>
      </c>
      <c r="B31" s="137" t="s">
        <v>238</v>
      </c>
      <c r="C31" s="96" t="s">
        <v>126</v>
      </c>
      <c r="D31" s="111" t="s">
        <v>38</v>
      </c>
      <c r="E31" s="98"/>
      <c r="F31" s="98"/>
      <c r="G31" s="98"/>
      <c r="H31" s="98">
        <f>23008.1+315.99+179.3+18+372+1934.48+537.4+1141+16.98</f>
        <v>27523.25</v>
      </c>
      <c r="I31" s="98">
        <v>23008.1</v>
      </c>
      <c r="J31" s="98">
        <v>23008.1</v>
      </c>
      <c r="K31" s="105">
        <f t="shared" si="0"/>
        <v>73539.45</v>
      </c>
      <c r="L31" s="109" t="s">
        <v>77</v>
      </c>
    </row>
    <row r="32" spans="1:12" s="3" customFormat="1" ht="24.75" customHeight="1">
      <c r="A32" s="168" t="s">
        <v>19</v>
      </c>
      <c r="B32" s="169"/>
      <c r="C32" s="169"/>
      <c r="D32" s="33"/>
      <c r="E32" s="34"/>
      <c r="F32" s="34"/>
      <c r="G32" s="34"/>
      <c r="H32" s="23">
        <f>SUM(H16:H31)</f>
        <v>365469.73</v>
      </c>
      <c r="I32" s="23">
        <f>SUM(I16:I31)</f>
        <v>311785.18</v>
      </c>
      <c r="J32" s="23">
        <f>SUM(J16:J31)</f>
        <v>311785.18</v>
      </c>
      <c r="K32" s="23">
        <f>SUM(K16:K31)</f>
        <v>989040.09</v>
      </c>
      <c r="L32" s="34"/>
    </row>
    <row r="33" spans="1:13" ht="25.5" customHeight="1">
      <c r="A33" s="170" t="s">
        <v>158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2"/>
      <c r="M33" s="12"/>
    </row>
    <row r="34" spans="1:12" ht="258" customHeight="1">
      <c r="A34" s="102" t="s">
        <v>84</v>
      </c>
      <c r="B34" s="125" t="s">
        <v>61</v>
      </c>
      <c r="C34" s="96" t="s">
        <v>126</v>
      </c>
      <c r="D34" s="102" t="s">
        <v>38</v>
      </c>
      <c r="E34" s="126" t="s">
        <v>40</v>
      </c>
      <c r="F34" s="126" t="s">
        <v>136</v>
      </c>
      <c r="G34" s="98" t="s">
        <v>26</v>
      </c>
      <c r="H34" s="129">
        <f>103.9-32.9</f>
        <v>71</v>
      </c>
      <c r="I34" s="129">
        <v>103.9</v>
      </c>
      <c r="J34" s="129">
        <v>103.9</v>
      </c>
      <c r="K34" s="130">
        <f>SUM(H34:J34)</f>
        <v>278.8</v>
      </c>
      <c r="L34" s="125" t="s">
        <v>206</v>
      </c>
    </row>
    <row r="35" spans="1:12" ht="21" customHeight="1">
      <c r="A35" s="39"/>
      <c r="B35" s="40" t="s">
        <v>20</v>
      </c>
      <c r="C35" s="40"/>
      <c r="D35" s="41"/>
      <c r="E35" s="41"/>
      <c r="F35" s="41"/>
      <c r="G35" s="41"/>
      <c r="H35" s="38">
        <f>SUM(H34:H34)</f>
        <v>71</v>
      </c>
      <c r="I35" s="38">
        <f>SUM(I34:I34)</f>
        <v>103.9</v>
      </c>
      <c r="J35" s="38">
        <f>SUM(J34:J34)</f>
        <v>103.9</v>
      </c>
      <c r="K35" s="38">
        <f>SUM(K34:K34)</f>
        <v>278.8</v>
      </c>
      <c r="L35" s="41"/>
    </row>
    <row r="36" spans="1:15" ht="36.75" customHeight="1">
      <c r="A36" s="173" t="s">
        <v>21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5"/>
      <c r="M36" s="5"/>
      <c r="N36" s="5"/>
      <c r="O36" s="5"/>
    </row>
    <row r="37" spans="1:12" ht="195" customHeight="1">
      <c r="A37" s="16" t="s">
        <v>85</v>
      </c>
      <c r="B37" s="35" t="s">
        <v>113</v>
      </c>
      <c r="C37" s="20" t="s">
        <v>126</v>
      </c>
      <c r="D37" s="16" t="s">
        <v>38</v>
      </c>
      <c r="E37" s="42" t="s">
        <v>39</v>
      </c>
      <c r="F37" s="42"/>
      <c r="G37" s="17" t="s">
        <v>26</v>
      </c>
      <c r="H37" s="43"/>
      <c r="I37" s="43"/>
      <c r="J37" s="43"/>
      <c r="K37" s="44">
        <f>SUM(H37:H37)</f>
        <v>0</v>
      </c>
      <c r="L37" s="35" t="s">
        <v>213</v>
      </c>
    </row>
    <row r="38" spans="1:12" ht="204" customHeight="1">
      <c r="A38" s="16" t="s">
        <v>86</v>
      </c>
      <c r="B38" s="35" t="s">
        <v>114</v>
      </c>
      <c r="C38" s="20" t="s">
        <v>126</v>
      </c>
      <c r="D38" s="16" t="s">
        <v>38</v>
      </c>
      <c r="E38" s="42" t="s">
        <v>41</v>
      </c>
      <c r="F38" s="42"/>
      <c r="G38" s="17" t="s">
        <v>26</v>
      </c>
      <c r="H38" s="43"/>
      <c r="I38" s="43"/>
      <c r="J38" s="43"/>
      <c r="K38" s="44">
        <f>SUM(H38:H38)</f>
        <v>0</v>
      </c>
      <c r="L38" s="35" t="s">
        <v>213</v>
      </c>
    </row>
    <row r="39" spans="1:12" ht="21" customHeight="1">
      <c r="A39" s="45"/>
      <c r="B39" s="34" t="s">
        <v>14</v>
      </c>
      <c r="C39" s="34"/>
      <c r="D39" s="34"/>
      <c r="E39" s="41"/>
      <c r="F39" s="46"/>
      <c r="G39" s="46"/>
      <c r="H39" s="23">
        <f>SUM(H37:H38)</f>
        <v>0</v>
      </c>
      <c r="I39" s="23">
        <f>SUM(I37:I38)</f>
        <v>0</v>
      </c>
      <c r="J39" s="23"/>
      <c r="K39" s="23">
        <f>SUM(K37:K38)</f>
        <v>0</v>
      </c>
      <c r="L39" s="23">
        <f>SUM(L37:L38)</f>
        <v>0</v>
      </c>
    </row>
    <row r="40" spans="1:13" s="1" customFormat="1" ht="59.25" customHeight="1">
      <c r="A40" s="150" t="s">
        <v>78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2"/>
      <c r="M40" s="4"/>
    </row>
    <row r="41" spans="1:13" s="1" customFormat="1" ht="225" customHeight="1">
      <c r="A41" s="47" t="s">
        <v>87</v>
      </c>
      <c r="B41" s="35" t="s">
        <v>1</v>
      </c>
      <c r="C41" s="20" t="s">
        <v>126</v>
      </c>
      <c r="D41" s="32" t="s">
        <v>38</v>
      </c>
      <c r="E41" s="35"/>
      <c r="F41" s="35"/>
      <c r="G41" s="35"/>
      <c r="H41" s="48"/>
      <c r="I41" s="48"/>
      <c r="J41" s="48"/>
      <c r="K41" s="46">
        <f>SUM(H41:H41)</f>
        <v>0</v>
      </c>
      <c r="L41" s="35" t="s">
        <v>239</v>
      </c>
      <c r="M41" s="2"/>
    </row>
    <row r="42" spans="1:13" s="1" customFormat="1" ht="80.25" customHeight="1">
      <c r="A42" s="47" t="s">
        <v>88</v>
      </c>
      <c r="B42" s="35" t="s">
        <v>12</v>
      </c>
      <c r="C42" s="20" t="s">
        <v>126</v>
      </c>
      <c r="D42" s="32" t="s">
        <v>38</v>
      </c>
      <c r="E42" s="35"/>
      <c r="F42" s="35"/>
      <c r="G42" s="35"/>
      <c r="H42" s="48"/>
      <c r="I42" s="48"/>
      <c r="J42" s="48"/>
      <c r="K42" s="46">
        <f>SUM(H42:H42)</f>
        <v>0</v>
      </c>
      <c r="L42" s="35" t="s">
        <v>13</v>
      </c>
      <c r="M42" s="2"/>
    </row>
    <row r="43" spans="1:13" s="1" customFormat="1" ht="25.5" customHeight="1">
      <c r="A43" s="49"/>
      <c r="B43" s="41" t="s">
        <v>10</v>
      </c>
      <c r="C43" s="41"/>
      <c r="D43" s="34"/>
      <c r="E43" s="41"/>
      <c r="F43" s="41"/>
      <c r="G43" s="41"/>
      <c r="H43" s="23">
        <f>SUM(H41:H42)</f>
        <v>0</v>
      </c>
      <c r="I43" s="23"/>
      <c r="J43" s="23"/>
      <c r="K43" s="23">
        <f>SUM(K41:K42)</f>
        <v>0</v>
      </c>
      <c r="L43" s="41"/>
      <c r="M43" s="2"/>
    </row>
    <row r="44" spans="1:13" s="1" customFormat="1" ht="36" customHeight="1">
      <c r="A44" s="153" t="s">
        <v>22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5"/>
      <c r="M44" s="2"/>
    </row>
    <row r="45" spans="1:13" s="9" customFormat="1" ht="409.5" customHeight="1">
      <c r="A45" s="94" t="s">
        <v>11</v>
      </c>
      <c r="B45" s="95" t="s">
        <v>118</v>
      </c>
      <c r="C45" s="96" t="s">
        <v>126</v>
      </c>
      <c r="D45" s="94" t="s">
        <v>38</v>
      </c>
      <c r="E45" s="97" t="s">
        <v>224</v>
      </c>
      <c r="F45" s="97" t="s">
        <v>162</v>
      </c>
      <c r="G45" s="98" t="s">
        <v>26</v>
      </c>
      <c r="H45" s="99">
        <f>197968.8+1748.1+971.2+944.8+3341.8+4855.3+835.1+1250.8+5</f>
        <v>211920.89999999997</v>
      </c>
      <c r="I45" s="99">
        <f>197968.8</f>
        <v>197968.8</v>
      </c>
      <c r="J45" s="99">
        <f>197968.8</f>
        <v>197968.8</v>
      </c>
      <c r="K45" s="100">
        <f aca="true" t="shared" si="1" ref="K45:K65">SUM(H45:J45)</f>
        <v>607858.5</v>
      </c>
      <c r="L45" s="101" t="s">
        <v>214</v>
      </c>
      <c r="M45" s="8"/>
    </row>
    <row r="46" spans="1:13" s="9" customFormat="1" ht="370.5" customHeight="1">
      <c r="A46" s="94" t="s">
        <v>89</v>
      </c>
      <c r="B46" s="106" t="s">
        <v>160</v>
      </c>
      <c r="C46" s="96" t="s">
        <v>126</v>
      </c>
      <c r="D46" s="94" t="s">
        <v>38</v>
      </c>
      <c r="E46" s="94" t="s">
        <v>41</v>
      </c>
      <c r="F46" s="97" t="s">
        <v>161</v>
      </c>
      <c r="G46" s="98" t="s">
        <v>26</v>
      </c>
      <c r="H46" s="99">
        <f>20269+649.7+303.89+222.3+10.1+175.11</f>
        <v>21630.1</v>
      </c>
      <c r="I46" s="99">
        <f>20269</f>
        <v>20269</v>
      </c>
      <c r="J46" s="99">
        <f>20269</f>
        <v>20269</v>
      </c>
      <c r="K46" s="100">
        <f t="shared" si="1"/>
        <v>62168.1</v>
      </c>
      <c r="L46" s="101" t="s">
        <v>207</v>
      </c>
      <c r="M46" s="8"/>
    </row>
    <row r="47" spans="1:13" s="9" customFormat="1" ht="285.75" customHeight="1">
      <c r="A47" s="94" t="s">
        <v>90</v>
      </c>
      <c r="B47" s="131" t="s">
        <v>54</v>
      </c>
      <c r="C47" s="96" t="s">
        <v>126</v>
      </c>
      <c r="D47" s="94" t="s">
        <v>38</v>
      </c>
      <c r="E47" s="94" t="s">
        <v>41</v>
      </c>
      <c r="F47" s="97" t="s">
        <v>164</v>
      </c>
      <c r="G47" s="98" t="s">
        <v>53</v>
      </c>
      <c r="H47" s="99">
        <f>34812.35+75.19+276.38+59.98+24+1254.67+360+75+3473+75.43-276.03+240.65+532.13</f>
        <v>40982.75</v>
      </c>
      <c r="I47" s="99">
        <f>34812.35</f>
        <v>34812.35</v>
      </c>
      <c r="J47" s="99">
        <f>34812.35</f>
        <v>34812.35</v>
      </c>
      <c r="K47" s="100">
        <f t="shared" si="1"/>
        <v>110607.45000000001</v>
      </c>
      <c r="L47" s="101" t="s">
        <v>214</v>
      </c>
      <c r="M47" s="8"/>
    </row>
    <row r="48" spans="1:13" s="9" customFormat="1" ht="146.25" customHeight="1">
      <c r="A48" s="50" t="s">
        <v>91</v>
      </c>
      <c r="B48" s="56" t="s">
        <v>154</v>
      </c>
      <c r="C48" s="20" t="s">
        <v>126</v>
      </c>
      <c r="D48" s="50" t="s">
        <v>38</v>
      </c>
      <c r="E48" s="50" t="s">
        <v>41</v>
      </c>
      <c r="F48" s="51" t="s">
        <v>163</v>
      </c>
      <c r="G48" s="17" t="s">
        <v>53</v>
      </c>
      <c r="H48" s="52"/>
      <c r="I48" s="52"/>
      <c r="J48" s="52"/>
      <c r="K48" s="53">
        <f t="shared" si="1"/>
        <v>0</v>
      </c>
      <c r="L48" s="54"/>
      <c r="M48" s="8"/>
    </row>
    <row r="49" spans="1:13" s="9" customFormat="1" ht="54.75" customHeight="1">
      <c r="A49" s="94" t="s">
        <v>0</v>
      </c>
      <c r="B49" s="128" t="s">
        <v>127</v>
      </c>
      <c r="C49" s="96" t="s">
        <v>126</v>
      </c>
      <c r="D49" s="94" t="s">
        <v>38</v>
      </c>
      <c r="E49" s="97" t="s">
        <v>255</v>
      </c>
      <c r="F49" s="97" t="s">
        <v>67</v>
      </c>
      <c r="G49" s="98" t="s">
        <v>53</v>
      </c>
      <c r="H49" s="99">
        <f>1896.4-96.35-88.21-131.37</f>
        <v>1580.4700000000003</v>
      </c>
      <c r="I49" s="99">
        <f>1896.4</f>
        <v>1896.4</v>
      </c>
      <c r="J49" s="99">
        <f>1896.4</f>
        <v>1896.4</v>
      </c>
      <c r="K49" s="100">
        <f t="shared" si="1"/>
        <v>5373.27</v>
      </c>
      <c r="L49" s="101"/>
      <c r="M49" s="8"/>
    </row>
    <row r="50" spans="1:13" s="9" customFormat="1" ht="313.5" customHeight="1">
      <c r="A50" s="94" t="s">
        <v>92</v>
      </c>
      <c r="B50" s="120" t="s">
        <v>58</v>
      </c>
      <c r="C50" s="96" t="s">
        <v>126</v>
      </c>
      <c r="D50" s="94" t="s">
        <v>38</v>
      </c>
      <c r="E50" s="97" t="s">
        <v>69</v>
      </c>
      <c r="F50" s="97" t="s">
        <v>137</v>
      </c>
      <c r="G50" s="121" t="s">
        <v>53</v>
      </c>
      <c r="H50" s="99">
        <f>3496.95+1757.6+77</f>
        <v>5331.549999999999</v>
      </c>
      <c r="I50" s="99">
        <f>3496.95+1757.6</f>
        <v>5254.549999999999</v>
      </c>
      <c r="J50" s="99">
        <f>3496.95+1757.6</f>
        <v>5254.549999999999</v>
      </c>
      <c r="K50" s="100">
        <f t="shared" si="1"/>
        <v>15840.649999999998</v>
      </c>
      <c r="L50" s="101" t="s">
        <v>207</v>
      </c>
      <c r="M50" s="8"/>
    </row>
    <row r="51" spans="1:24" s="11" customFormat="1" ht="263.25" customHeight="1">
      <c r="A51" s="47" t="s">
        <v>165</v>
      </c>
      <c r="B51" s="58" t="s">
        <v>62</v>
      </c>
      <c r="C51" s="20" t="s">
        <v>126</v>
      </c>
      <c r="D51" s="50" t="s">
        <v>38</v>
      </c>
      <c r="E51" s="59">
        <v>702</v>
      </c>
      <c r="F51" s="36" t="s">
        <v>138</v>
      </c>
      <c r="G51" s="17" t="s">
        <v>116</v>
      </c>
      <c r="H51" s="60">
        <f>11097.4+15</f>
        <v>11112.4</v>
      </c>
      <c r="I51" s="60">
        <f>11097.4</f>
        <v>11097.4</v>
      </c>
      <c r="J51" s="60">
        <f>11097.4</f>
        <v>11097.4</v>
      </c>
      <c r="K51" s="53">
        <f t="shared" si="1"/>
        <v>33307.2</v>
      </c>
      <c r="L51" s="35" t="s">
        <v>215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12" s="7" customFormat="1" ht="192" customHeight="1">
      <c r="A52" s="102" t="s">
        <v>166</v>
      </c>
      <c r="B52" s="110" t="s">
        <v>59</v>
      </c>
      <c r="C52" s="96" t="s">
        <v>126</v>
      </c>
      <c r="D52" s="94" t="s">
        <v>38</v>
      </c>
      <c r="E52" s="94" t="s">
        <v>41</v>
      </c>
      <c r="F52" s="98" t="s">
        <v>139</v>
      </c>
      <c r="G52" s="98" t="s">
        <v>26</v>
      </c>
      <c r="H52" s="108">
        <f>18522.12-542.82+144.45+214.83-299.6-102.11-78.12-644.49+774.17+31.58+750.96+28.64</f>
        <v>18799.61</v>
      </c>
      <c r="I52" s="108">
        <f>18522.12</f>
        <v>18522.12</v>
      </c>
      <c r="J52" s="108">
        <f>18522.12</f>
        <v>18522.12</v>
      </c>
      <c r="K52" s="100">
        <f t="shared" si="1"/>
        <v>55843.84999999999</v>
      </c>
      <c r="L52" s="109" t="s">
        <v>48</v>
      </c>
    </row>
    <row r="53" spans="1:12" s="7" customFormat="1" ht="192" customHeight="1">
      <c r="A53" s="102" t="s">
        <v>149</v>
      </c>
      <c r="B53" s="110" t="s">
        <v>59</v>
      </c>
      <c r="C53" s="96" t="s">
        <v>126</v>
      </c>
      <c r="D53" s="94" t="s">
        <v>38</v>
      </c>
      <c r="E53" s="94" t="s">
        <v>41</v>
      </c>
      <c r="F53" s="98" t="s">
        <v>261</v>
      </c>
      <c r="G53" s="98" t="s">
        <v>26</v>
      </c>
      <c r="H53" s="108">
        <v>410.88</v>
      </c>
      <c r="I53" s="108">
        <v>0</v>
      </c>
      <c r="J53" s="108">
        <v>0</v>
      </c>
      <c r="K53" s="100">
        <f t="shared" si="1"/>
        <v>410.88</v>
      </c>
      <c r="L53" s="109" t="s">
        <v>48</v>
      </c>
    </row>
    <row r="54" spans="1:12" s="7" customFormat="1" ht="213.75" customHeight="1">
      <c r="A54" s="102" t="s">
        <v>150</v>
      </c>
      <c r="B54" s="107" t="s">
        <v>63</v>
      </c>
      <c r="C54" s="96" t="s">
        <v>126</v>
      </c>
      <c r="D54" s="94" t="s">
        <v>38</v>
      </c>
      <c r="E54" s="94" t="s">
        <v>41</v>
      </c>
      <c r="F54" s="98" t="s">
        <v>46</v>
      </c>
      <c r="G54" s="98" t="s">
        <v>26</v>
      </c>
      <c r="H54" s="108">
        <f>7866.61+3754.93-218.29+3731.3+13.41</f>
        <v>15147.96</v>
      </c>
      <c r="I54" s="113">
        <v>0</v>
      </c>
      <c r="J54" s="113">
        <v>0</v>
      </c>
      <c r="K54" s="100">
        <f t="shared" si="1"/>
        <v>15147.96</v>
      </c>
      <c r="L54" s="109" t="s">
        <v>48</v>
      </c>
    </row>
    <row r="55" spans="1:12" s="7" customFormat="1" ht="105" customHeight="1">
      <c r="A55" s="16" t="s">
        <v>151</v>
      </c>
      <c r="B55" s="31" t="s">
        <v>237</v>
      </c>
      <c r="C55" s="20" t="s">
        <v>126</v>
      </c>
      <c r="D55" s="16" t="s">
        <v>38</v>
      </c>
      <c r="E55" s="16" t="s">
        <v>39</v>
      </c>
      <c r="F55" s="17" t="s">
        <v>225</v>
      </c>
      <c r="G55" s="17" t="s">
        <v>26</v>
      </c>
      <c r="H55" s="22">
        <f>375.6+454.36+26.56+67.25-3.9+0.01</f>
        <v>919.88</v>
      </c>
      <c r="I55" s="22">
        <v>0</v>
      </c>
      <c r="J55" s="22">
        <v>0</v>
      </c>
      <c r="K55" s="23">
        <f>SUM(H55:J55)</f>
        <v>919.88</v>
      </c>
      <c r="L55" s="18"/>
    </row>
    <row r="56" spans="1:12" s="7" customFormat="1" ht="126" customHeight="1">
      <c r="A56" s="16" t="s">
        <v>229</v>
      </c>
      <c r="B56" s="31" t="s">
        <v>237</v>
      </c>
      <c r="C56" s="20" t="s">
        <v>126</v>
      </c>
      <c r="D56" s="16" t="s">
        <v>38</v>
      </c>
      <c r="E56" s="16" t="s">
        <v>39</v>
      </c>
      <c r="F56" s="17" t="s">
        <v>226</v>
      </c>
      <c r="G56" s="17" t="s">
        <v>26</v>
      </c>
      <c r="H56" s="22">
        <f>160.97+257.81+11.38-19.01-0.01</f>
        <v>411.14</v>
      </c>
      <c r="I56" s="22">
        <v>0</v>
      </c>
      <c r="J56" s="22">
        <v>0</v>
      </c>
      <c r="K56" s="23">
        <f>SUM(H56:J56)</f>
        <v>411.14</v>
      </c>
      <c r="L56" s="18"/>
    </row>
    <row r="57" spans="1:12" s="7" customFormat="1" ht="213.75" customHeight="1">
      <c r="A57" s="102" t="s">
        <v>152</v>
      </c>
      <c r="B57" s="107" t="s">
        <v>63</v>
      </c>
      <c r="C57" s="96" t="s">
        <v>126</v>
      </c>
      <c r="D57" s="94" t="s">
        <v>38</v>
      </c>
      <c r="E57" s="94" t="s">
        <v>41</v>
      </c>
      <c r="F57" s="98" t="s">
        <v>222</v>
      </c>
      <c r="G57" s="98" t="s">
        <v>26</v>
      </c>
      <c r="H57" s="108">
        <f>888.63+411.95+34.63+509.38</f>
        <v>1844.5900000000001</v>
      </c>
      <c r="I57" s="113">
        <v>0</v>
      </c>
      <c r="J57" s="113">
        <v>0</v>
      </c>
      <c r="K57" s="100">
        <f>SUM(H57:J57)</f>
        <v>1844.5900000000001</v>
      </c>
      <c r="L57" s="109" t="s">
        <v>48</v>
      </c>
    </row>
    <row r="58" spans="1:12" s="7" customFormat="1" ht="213.75" customHeight="1">
      <c r="A58" s="102" t="s">
        <v>167</v>
      </c>
      <c r="B58" s="107" t="s">
        <v>63</v>
      </c>
      <c r="C58" s="96" t="s">
        <v>126</v>
      </c>
      <c r="D58" s="94" t="s">
        <v>38</v>
      </c>
      <c r="E58" s="94" t="s">
        <v>41</v>
      </c>
      <c r="F58" s="98" t="s">
        <v>200</v>
      </c>
      <c r="G58" s="98" t="s">
        <v>26</v>
      </c>
      <c r="H58" s="108">
        <f>4608+2134.78-67.7-75+39.06</f>
        <v>6639.140000000001</v>
      </c>
      <c r="I58" s="113">
        <f>4608</f>
        <v>4608</v>
      </c>
      <c r="J58" s="113">
        <f>4608</f>
        <v>4608</v>
      </c>
      <c r="K58" s="100">
        <f t="shared" si="1"/>
        <v>15855.140000000001</v>
      </c>
      <c r="L58" s="109" t="s">
        <v>48</v>
      </c>
    </row>
    <row r="59" spans="1:12" s="3" customFormat="1" ht="128.25" customHeight="1">
      <c r="A59" s="102" t="s">
        <v>168</v>
      </c>
      <c r="B59" s="98" t="s">
        <v>240</v>
      </c>
      <c r="C59" s="96" t="s">
        <v>126</v>
      </c>
      <c r="D59" s="98"/>
      <c r="E59" s="98"/>
      <c r="F59" s="98"/>
      <c r="G59" s="98"/>
      <c r="H59" s="108">
        <f>17908.91+0.1+695.62+38+1068.82+479.47-235.22+198.63+18.73+22.5+145.28+191.55+132.38</f>
        <v>20664.769999999997</v>
      </c>
      <c r="I59" s="113">
        <v>18604.63</v>
      </c>
      <c r="J59" s="113">
        <v>18604.63</v>
      </c>
      <c r="K59" s="100">
        <f t="shared" si="1"/>
        <v>57874.03</v>
      </c>
      <c r="L59" s="109"/>
    </row>
    <row r="60" spans="1:12" s="7" customFormat="1" ht="373.5" customHeight="1">
      <c r="A60" s="32" t="s">
        <v>193</v>
      </c>
      <c r="B60" s="62" t="s">
        <v>247</v>
      </c>
      <c r="C60" s="20" t="s">
        <v>126</v>
      </c>
      <c r="D60" s="50" t="s">
        <v>38</v>
      </c>
      <c r="E60" s="36" t="s">
        <v>195</v>
      </c>
      <c r="F60" s="36" t="s">
        <v>235</v>
      </c>
      <c r="G60" s="17" t="s">
        <v>50</v>
      </c>
      <c r="H60" s="52">
        <v>211.5</v>
      </c>
      <c r="I60" s="52">
        <v>0</v>
      </c>
      <c r="J60" s="52">
        <v>0</v>
      </c>
      <c r="K60" s="53">
        <f t="shared" si="1"/>
        <v>211.5</v>
      </c>
      <c r="L60" s="54" t="s">
        <v>216</v>
      </c>
    </row>
    <row r="61" spans="1:12" s="7" customFormat="1" ht="276.75" customHeight="1">
      <c r="A61" s="32" t="s">
        <v>197</v>
      </c>
      <c r="B61" s="62" t="s">
        <v>247</v>
      </c>
      <c r="C61" s="20" t="s">
        <v>126</v>
      </c>
      <c r="D61" s="50" t="s">
        <v>38</v>
      </c>
      <c r="E61" s="36" t="s">
        <v>191</v>
      </c>
      <c r="F61" s="36" t="s">
        <v>235</v>
      </c>
      <c r="G61" s="17" t="s">
        <v>50</v>
      </c>
      <c r="H61" s="52">
        <v>3</v>
      </c>
      <c r="I61" s="52">
        <v>0</v>
      </c>
      <c r="J61" s="52">
        <v>0</v>
      </c>
      <c r="K61" s="53">
        <f t="shared" si="1"/>
        <v>3</v>
      </c>
      <c r="L61" s="54" t="s">
        <v>208</v>
      </c>
    </row>
    <row r="62" spans="1:12" s="7" customFormat="1" ht="369.75" customHeight="1">
      <c r="A62" s="47" t="s">
        <v>201</v>
      </c>
      <c r="B62" s="19" t="s">
        <v>194</v>
      </c>
      <c r="C62" s="20" t="s">
        <v>126</v>
      </c>
      <c r="D62" s="16" t="s">
        <v>38</v>
      </c>
      <c r="E62" s="42" t="s">
        <v>190</v>
      </c>
      <c r="F62" s="42" t="s">
        <v>209</v>
      </c>
      <c r="G62" s="17" t="s">
        <v>26</v>
      </c>
      <c r="H62" s="48">
        <v>1000</v>
      </c>
      <c r="I62" s="63"/>
      <c r="J62" s="63"/>
      <c r="K62" s="53">
        <f t="shared" si="1"/>
        <v>1000</v>
      </c>
      <c r="L62" s="54" t="s">
        <v>216</v>
      </c>
    </row>
    <row r="63" spans="1:12" s="7" customFormat="1" ht="159" customHeight="1">
      <c r="A63" s="47" t="s">
        <v>230</v>
      </c>
      <c r="B63" s="19" t="s">
        <v>248</v>
      </c>
      <c r="C63" s="20" t="s">
        <v>126</v>
      </c>
      <c r="D63" s="16" t="s">
        <v>38</v>
      </c>
      <c r="E63" s="42" t="s">
        <v>190</v>
      </c>
      <c r="F63" s="42" t="s">
        <v>209</v>
      </c>
      <c r="G63" s="17" t="s">
        <v>26</v>
      </c>
      <c r="H63" s="48">
        <v>10</v>
      </c>
      <c r="I63" s="63">
        <v>10</v>
      </c>
      <c r="J63" s="63">
        <v>10</v>
      </c>
      <c r="K63" s="53">
        <f t="shared" si="1"/>
        <v>30</v>
      </c>
      <c r="L63" s="36"/>
    </row>
    <row r="64" spans="1:12" s="7" customFormat="1" ht="166.5" customHeight="1">
      <c r="A64" s="47"/>
      <c r="B64" s="64" t="s">
        <v>259</v>
      </c>
      <c r="C64" s="20" t="s">
        <v>126</v>
      </c>
      <c r="D64" s="16" t="s">
        <v>38</v>
      </c>
      <c r="E64" s="42" t="s">
        <v>66</v>
      </c>
      <c r="F64" s="42" t="s">
        <v>250</v>
      </c>
      <c r="G64" s="17" t="s">
        <v>26</v>
      </c>
      <c r="H64" s="48">
        <v>10211.05</v>
      </c>
      <c r="I64" s="63"/>
      <c r="J64" s="63"/>
      <c r="K64" s="53"/>
      <c r="L64" s="36"/>
    </row>
    <row r="65" spans="1:12" s="7" customFormat="1" ht="170.25" customHeight="1">
      <c r="A65" s="132" t="s">
        <v>231</v>
      </c>
      <c r="B65" s="133" t="s">
        <v>260</v>
      </c>
      <c r="C65" s="96" t="s">
        <v>126</v>
      </c>
      <c r="D65" s="102" t="s">
        <v>38</v>
      </c>
      <c r="E65" s="134" t="s">
        <v>66</v>
      </c>
      <c r="F65" s="134" t="s">
        <v>249</v>
      </c>
      <c r="G65" s="98" t="s">
        <v>26</v>
      </c>
      <c r="H65" s="135">
        <f>102.11-28.03</f>
        <v>74.08</v>
      </c>
      <c r="I65" s="136"/>
      <c r="J65" s="136"/>
      <c r="K65" s="100">
        <f t="shared" si="1"/>
        <v>74.08</v>
      </c>
      <c r="L65" s="126"/>
    </row>
    <row r="66" spans="1:12" ht="18.75" customHeight="1">
      <c r="A66" s="156" t="s">
        <v>15</v>
      </c>
      <c r="B66" s="157"/>
      <c r="C66" s="65"/>
      <c r="D66" s="65"/>
      <c r="E66" s="65"/>
      <c r="F66" s="65"/>
      <c r="G66" s="66"/>
      <c r="H66" s="67">
        <f>SUM(H45:H65)</f>
        <v>368905.7700000001</v>
      </c>
      <c r="I66" s="67">
        <f>SUM(I45:I65)</f>
        <v>313043.25</v>
      </c>
      <c r="J66" s="67">
        <f>SUM(J45:J65)</f>
        <v>313043.25</v>
      </c>
      <c r="K66" s="67">
        <f>SUM(K45:K65)</f>
        <v>984781.22</v>
      </c>
      <c r="L66" s="67">
        <f>SUM(L45:L61)</f>
        <v>0</v>
      </c>
    </row>
    <row r="67" spans="1:12" ht="42" customHeight="1">
      <c r="A67" s="158" t="s">
        <v>23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60"/>
    </row>
    <row r="68" spans="1:13" s="9" customFormat="1" ht="166.5" customHeight="1">
      <c r="A68" s="111" t="s">
        <v>24</v>
      </c>
      <c r="B68" s="122" t="s">
        <v>55</v>
      </c>
      <c r="C68" s="96" t="s">
        <v>126</v>
      </c>
      <c r="D68" s="94" t="s">
        <v>38</v>
      </c>
      <c r="E68" s="97" t="s">
        <v>172</v>
      </c>
      <c r="F68" s="97" t="s">
        <v>171</v>
      </c>
      <c r="G68" s="98" t="s">
        <v>26</v>
      </c>
      <c r="H68" s="123">
        <f>9530.3+240.67+37.5+275.6+84-40.51+187.74-265</f>
        <v>10050.3</v>
      </c>
      <c r="I68" s="123">
        <f>9530.3</f>
        <v>9530.3</v>
      </c>
      <c r="J68" s="123">
        <f>9530.3</f>
        <v>9530.3</v>
      </c>
      <c r="K68" s="114">
        <f aca="true" t="shared" si="2" ref="K68:K85">SUM(H68:J68)</f>
        <v>29110.899999999998</v>
      </c>
      <c r="L68" s="124" t="s">
        <v>125</v>
      </c>
      <c r="M68" s="8"/>
    </row>
    <row r="69" spans="1:13" s="9" customFormat="1" ht="195.75" customHeight="1">
      <c r="A69" s="16" t="s">
        <v>254</v>
      </c>
      <c r="B69" s="25" t="s">
        <v>251</v>
      </c>
      <c r="C69" s="20" t="s">
        <v>126</v>
      </c>
      <c r="D69" s="16" t="s">
        <v>38</v>
      </c>
      <c r="E69" s="16" t="s">
        <v>253</v>
      </c>
      <c r="F69" s="21" t="s">
        <v>252</v>
      </c>
      <c r="G69" s="28" t="s">
        <v>26</v>
      </c>
      <c r="H69" s="22">
        <f>84.04-33.54</f>
        <v>50.50000000000001</v>
      </c>
      <c r="I69" s="22"/>
      <c r="J69" s="22"/>
      <c r="K69" s="23">
        <f>SUM(H69:J69)</f>
        <v>50.50000000000001</v>
      </c>
      <c r="L69" s="29"/>
      <c r="M69" s="8"/>
    </row>
    <row r="70" spans="1:13" s="9" customFormat="1" ht="166.5" customHeight="1">
      <c r="A70" s="32" t="s">
        <v>217</v>
      </c>
      <c r="B70" s="30" t="s">
        <v>55</v>
      </c>
      <c r="C70" s="20" t="s">
        <v>126</v>
      </c>
      <c r="D70" s="50" t="s">
        <v>38</v>
      </c>
      <c r="E70" s="51" t="s">
        <v>105</v>
      </c>
      <c r="F70" s="51" t="s">
        <v>170</v>
      </c>
      <c r="G70" s="17" t="s">
        <v>26</v>
      </c>
      <c r="H70" s="69">
        <f>23.8</f>
        <v>23.8</v>
      </c>
      <c r="I70" s="69">
        <f>23.8</f>
        <v>23.8</v>
      </c>
      <c r="J70" s="69">
        <f>23.8</f>
        <v>23.8</v>
      </c>
      <c r="K70" s="70">
        <f t="shared" si="2"/>
        <v>71.4</v>
      </c>
      <c r="L70" s="71" t="s">
        <v>125</v>
      </c>
      <c r="M70" s="8"/>
    </row>
    <row r="71" spans="1:13" s="9" customFormat="1" ht="166.5" customHeight="1">
      <c r="A71" s="32" t="s">
        <v>174</v>
      </c>
      <c r="B71" s="68" t="s">
        <v>55</v>
      </c>
      <c r="C71" s="20" t="s">
        <v>126</v>
      </c>
      <c r="D71" s="50" t="s">
        <v>38</v>
      </c>
      <c r="E71" s="51" t="s">
        <v>105</v>
      </c>
      <c r="F71" s="51" t="s">
        <v>147</v>
      </c>
      <c r="G71" s="17" t="s">
        <v>26</v>
      </c>
      <c r="H71" s="69">
        <f>10744.85</f>
        <v>10744.85</v>
      </c>
      <c r="I71" s="69">
        <f>10744.85</f>
        <v>10744.85</v>
      </c>
      <c r="J71" s="69">
        <f>10744.85</f>
        <v>10744.85</v>
      </c>
      <c r="K71" s="70">
        <f t="shared" si="2"/>
        <v>32234.550000000003</v>
      </c>
      <c r="L71" s="71" t="s">
        <v>125</v>
      </c>
      <c r="M71" s="8"/>
    </row>
    <row r="72" spans="1:13" s="9" customFormat="1" ht="166.5" customHeight="1">
      <c r="A72" s="32" t="s">
        <v>175</v>
      </c>
      <c r="B72" s="56" t="s">
        <v>154</v>
      </c>
      <c r="C72" s="20" t="s">
        <v>126</v>
      </c>
      <c r="D72" s="50" t="s">
        <v>38</v>
      </c>
      <c r="E72" s="51" t="s">
        <v>172</v>
      </c>
      <c r="F72" s="51" t="s">
        <v>173</v>
      </c>
      <c r="G72" s="17" t="s">
        <v>169</v>
      </c>
      <c r="H72" s="69"/>
      <c r="I72" s="69"/>
      <c r="J72" s="69"/>
      <c r="K72" s="70">
        <f t="shared" si="2"/>
        <v>0</v>
      </c>
      <c r="L72" s="71" t="s">
        <v>125</v>
      </c>
      <c r="M72" s="8"/>
    </row>
    <row r="73" spans="1:13" s="9" customFormat="1" ht="150" customHeight="1">
      <c r="A73" s="111" t="s">
        <v>176</v>
      </c>
      <c r="B73" s="121" t="s">
        <v>58</v>
      </c>
      <c r="C73" s="96" t="s">
        <v>126</v>
      </c>
      <c r="D73" s="111" t="s">
        <v>38</v>
      </c>
      <c r="E73" s="112" t="s">
        <v>109</v>
      </c>
      <c r="F73" s="112" t="s">
        <v>140</v>
      </c>
      <c r="G73" s="98" t="s">
        <v>26</v>
      </c>
      <c r="H73" s="123">
        <f>3420.6+29.68-2333.88-39.04</f>
        <v>1077.3599999999997</v>
      </c>
      <c r="I73" s="123">
        <f>3420.6+29.68-2333.88</f>
        <v>1116.3999999999996</v>
      </c>
      <c r="J73" s="123">
        <f>3420.6+29.68-2333.88</f>
        <v>1116.3999999999996</v>
      </c>
      <c r="K73" s="114">
        <f t="shared" si="2"/>
        <v>3310.159999999999</v>
      </c>
      <c r="L73" s="124" t="s">
        <v>125</v>
      </c>
      <c r="M73" s="8"/>
    </row>
    <row r="74" spans="1:13" s="9" customFormat="1" ht="150" customHeight="1">
      <c r="A74" s="32" t="s">
        <v>177</v>
      </c>
      <c r="B74" s="30" t="s">
        <v>58</v>
      </c>
      <c r="C74" s="20" t="s">
        <v>126</v>
      </c>
      <c r="D74" s="32" t="s">
        <v>38</v>
      </c>
      <c r="E74" s="72" t="s">
        <v>109</v>
      </c>
      <c r="F74" s="72" t="s">
        <v>148</v>
      </c>
      <c r="G74" s="17" t="s">
        <v>26</v>
      </c>
      <c r="H74" s="69">
        <f>2333.88</f>
        <v>2333.88</v>
      </c>
      <c r="I74" s="69">
        <f>2333.88</f>
        <v>2333.88</v>
      </c>
      <c r="J74" s="69">
        <f>2333.88</f>
        <v>2333.88</v>
      </c>
      <c r="K74" s="70">
        <f t="shared" si="2"/>
        <v>7001.64</v>
      </c>
      <c r="L74" s="71" t="s">
        <v>125</v>
      </c>
      <c r="M74" s="8"/>
    </row>
    <row r="75" spans="1:12" s="7" customFormat="1" ht="202.5" customHeight="1">
      <c r="A75" s="111" t="s">
        <v>178</v>
      </c>
      <c r="B75" s="107" t="s">
        <v>59</v>
      </c>
      <c r="C75" s="96" t="s">
        <v>126</v>
      </c>
      <c r="D75" s="111" t="s">
        <v>38</v>
      </c>
      <c r="E75" s="112" t="s">
        <v>106</v>
      </c>
      <c r="F75" s="98" t="s">
        <v>141</v>
      </c>
      <c r="G75" s="98" t="s">
        <v>26</v>
      </c>
      <c r="H75" s="108">
        <f>2484.88+588.5+1647.2-123.68+39.06+104.16-110.67+71.37+111.97+37.86+45.57+56.54+109.53-5.21</f>
        <v>5057.079999999999</v>
      </c>
      <c r="I75" s="108">
        <f>2484.88+588.5+1647.2</f>
        <v>4720.58</v>
      </c>
      <c r="J75" s="108">
        <f>4720.58</f>
        <v>4720.58</v>
      </c>
      <c r="K75" s="114">
        <f t="shared" si="2"/>
        <v>14498.24</v>
      </c>
      <c r="L75" s="109" t="s">
        <v>49</v>
      </c>
    </row>
    <row r="76" spans="1:12" s="7" customFormat="1" ht="105" customHeight="1">
      <c r="A76" s="16" t="s">
        <v>179</v>
      </c>
      <c r="B76" s="31" t="s">
        <v>237</v>
      </c>
      <c r="C76" s="20" t="s">
        <v>126</v>
      </c>
      <c r="D76" s="16" t="s">
        <v>38</v>
      </c>
      <c r="E76" s="16" t="s">
        <v>39</v>
      </c>
      <c r="F76" s="17" t="s">
        <v>225</v>
      </c>
      <c r="G76" s="17" t="s">
        <v>26</v>
      </c>
      <c r="H76" s="22">
        <f>153.87+1.65</f>
        <v>155.52</v>
      </c>
      <c r="I76" s="22">
        <v>0</v>
      </c>
      <c r="J76" s="22">
        <v>0</v>
      </c>
      <c r="K76" s="23">
        <f>SUM(H76:J76)</f>
        <v>155.52</v>
      </c>
      <c r="L76" s="18"/>
    </row>
    <row r="77" spans="1:12" s="7" customFormat="1" ht="126" customHeight="1">
      <c r="A77" s="16" t="s">
        <v>180</v>
      </c>
      <c r="B77" s="31" t="s">
        <v>237</v>
      </c>
      <c r="C77" s="20" t="s">
        <v>126</v>
      </c>
      <c r="D77" s="16" t="s">
        <v>38</v>
      </c>
      <c r="E77" s="16" t="s">
        <v>39</v>
      </c>
      <c r="F77" s="17" t="s">
        <v>226</v>
      </c>
      <c r="G77" s="17" t="s">
        <v>26</v>
      </c>
      <c r="H77" s="22">
        <f>65.95+30.71-30</f>
        <v>66.66</v>
      </c>
      <c r="I77" s="22">
        <v>0</v>
      </c>
      <c r="J77" s="22">
        <v>0</v>
      </c>
      <c r="K77" s="23">
        <f>SUM(H77:J77)</f>
        <v>66.66</v>
      </c>
      <c r="L77" s="18"/>
    </row>
    <row r="78" spans="1:12" s="7" customFormat="1" ht="214.5" customHeight="1">
      <c r="A78" s="111" t="s">
        <v>181</v>
      </c>
      <c r="B78" s="107" t="s">
        <v>63</v>
      </c>
      <c r="C78" s="96" t="s">
        <v>126</v>
      </c>
      <c r="D78" s="111" t="s">
        <v>38</v>
      </c>
      <c r="E78" s="112" t="s">
        <v>107</v>
      </c>
      <c r="F78" s="98" t="s">
        <v>47</v>
      </c>
      <c r="G78" s="98" t="s">
        <v>26</v>
      </c>
      <c r="H78" s="108">
        <f>1807.21+1535.83-48.48+39.06+109.04+775.82+4.17</f>
        <v>4222.65</v>
      </c>
      <c r="I78" s="113">
        <v>0</v>
      </c>
      <c r="J78" s="113">
        <v>0</v>
      </c>
      <c r="K78" s="114">
        <f t="shared" si="2"/>
        <v>4222.65</v>
      </c>
      <c r="L78" s="109" t="s">
        <v>49</v>
      </c>
    </row>
    <row r="79" spans="1:12" s="7" customFormat="1" ht="214.5" customHeight="1">
      <c r="A79" s="111" t="s">
        <v>182</v>
      </c>
      <c r="B79" s="107" t="s">
        <v>63</v>
      </c>
      <c r="C79" s="96" t="s">
        <v>126</v>
      </c>
      <c r="D79" s="111" t="s">
        <v>38</v>
      </c>
      <c r="E79" s="112" t="s">
        <v>107</v>
      </c>
      <c r="F79" s="98" t="s">
        <v>223</v>
      </c>
      <c r="G79" s="98" t="s">
        <v>26</v>
      </c>
      <c r="H79" s="108">
        <f>204.17+175.16+10.42+9.11+11.72+97.06</f>
        <v>507.64000000000004</v>
      </c>
      <c r="I79" s="113">
        <v>0</v>
      </c>
      <c r="J79" s="113">
        <v>0</v>
      </c>
      <c r="K79" s="114">
        <f>SUM(H79:J79)</f>
        <v>507.64000000000004</v>
      </c>
      <c r="L79" s="109" t="s">
        <v>49</v>
      </c>
    </row>
    <row r="80" spans="1:12" s="7" customFormat="1" ht="214.5" customHeight="1">
      <c r="A80" s="111" t="s">
        <v>183</v>
      </c>
      <c r="B80" s="107" t="s">
        <v>63</v>
      </c>
      <c r="C80" s="96" t="s">
        <v>126</v>
      </c>
      <c r="D80" s="111" t="s">
        <v>38</v>
      </c>
      <c r="E80" s="112" t="s">
        <v>107</v>
      </c>
      <c r="F80" s="98" t="s">
        <v>265</v>
      </c>
      <c r="G80" s="98" t="s">
        <v>26</v>
      </c>
      <c r="H80" s="108">
        <f>105.03</f>
        <v>105.03</v>
      </c>
      <c r="I80" s="113">
        <v>0</v>
      </c>
      <c r="J80" s="113">
        <v>0</v>
      </c>
      <c r="K80" s="114">
        <f>SUM(H80:J80)</f>
        <v>105.03</v>
      </c>
      <c r="L80" s="109" t="s">
        <v>49</v>
      </c>
    </row>
    <row r="81" spans="1:12" s="7" customFormat="1" ht="214.5" customHeight="1">
      <c r="A81" s="111" t="s">
        <v>218</v>
      </c>
      <c r="B81" s="107" t="s">
        <v>63</v>
      </c>
      <c r="C81" s="96" t="s">
        <v>126</v>
      </c>
      <c r="D81" s="111" t="s">
        <v>38</v>
      </c>
      <c r="E81" s="112" t="s">
        <v>107</v>
      </c>
      <c r="F81" s="98" t="s">
        <v>202</v>
      </c>
      <c r="G81" s="98" t="s">
        <v>26</v>
      </c>
      <c r="H81" s="108">
        <f>652.36+556.51+151.44+455.55-26.04+93.74+19.53</f>
        <v>1903.09</v>
      </c>
      <c r="I81" s="113">
        <f>652.36+556.51+151.44</f>
        <v>1360.31</v>
      </c>
      <c r="J81" s="113">
        <f>652.36+556.51+151.44</f>
        <v>1360.31</v>
      </c>
      <c r="K81" s="114">
        <f t="shared" si="2"/>
        <v>4623.709999999999</v>
      </c>
      <c r="L81" s="109" t="s">
        <v>49</v>
      </c>
    </row>
    <row r="82" spans="1:12" s="8" customFormat="1" ht="135" customHeight="1">
      <c r="A82" s="32" t="s">
        <v>232</v>
      </c>
      <c r="B82" s="54" t="s">
        <v>64</v>
      </c>
      <c r="C82" s="20" t="s">
        <v>126</v>
      </c>
      <c r="D82" s="32" t="s">
        <v>38</v>
      </c>
      <c r="E82" s="72" t="s">
        <v>108</v>
      </c>
      <c r="F82" s="17" t="s">
        <v>142</v>
      </c>
      <c r="G82" s="17" t="s">
        <v>26</v>
      </c>
      <c r="H82" s="73">
        <v>0</v>
      </c>
      <c r="I82" s="73">
        <v>0</v>
      </c>
      <c r="J82" s="73">
        <v>0</v>
      </c>
      <c r="K82" s="70">
        <f t="shared" si="2"/>
        <v>0</v>
      </c>
      <c r="L82" s="54" t="s">
        <v>37</v>
      </c>
    </row>
    <row r="83" spans="1:12" ht="231.75" customHeight="1">
      <c r="A83" s="32" t="s">
        <v>233</v>
      </c>
      <c r="B83" s="55" t="s">
        <v>65</v>
      </c>
      <c r="C83" s="20" t="s">
        <v>126</v>
      </c>
      <c r="D83" s="32" t="s">
        <v>38</v>
      </c>
      <c r="E83" s="72" t="s">
        <v>108</v>
      </c>
      <c r="F83" s="21" t="s">
        <v>143</v>
      </c>
      <c r="G83" s="17" t="s">
        <v>26</v>
      </c>
      <c r="H83" s="73">
        <v>1066.2</v>
      </c>
      <c r="I83" s="73">
        <v>1066.2</v>
      </c>
      <c r="J83" s="73">
        <v>1066.2</v>
      </c>
      <c r="K83" s="70">
        <f t="shared" si="2"/>
        <v>3198.6000000000004</v>
      </c>
      <c r="L83" s="54" t="s">
        <v>103</v>
      </c>
    </row>
    <row r="84" spans="1:12" s="8" customFormat="1" ht="126" customHeight="1">
      <c r="A84" s="32" t="s">
        <v>234</v>
      </c>
      <c r="B84" s="55" t="s">
        <v>119</v>
      </c>
      <c r="C84" s="20" t="s">
        <v>126</v>
      </c>
      <c r="D84" s="32" t="s">
        <v>38</v>
      </c>
      <c r="E84" s="72" t="s">
        <v>108</v>
      </c>
      <c r="F84" s="21" t="s">
        <v>130</v>
      </c>
      <c r="G84" s="17" t="s">
        <v>26</v>
      </c>
      <c r="H84" s="73">
        <f>859.3+859.3</f>
        <v>1718.6</v>
      </c>
      <c r="I84" s="73">
        <v>0</v>
      </c>
      <c r="J84" s="73">
        <v>0</v>
      </c>
      <c r="K84" s="70">
        <f t="shared" si="2"/>
        <v>1718.6</v>
      </c>
      <c r="L84" s="54" t="s">
        <v>129</v>
      </c>
    </row>
    <row r="85" spans="1:12" ht="78" customHeight="1">
      <c r="A85" s="111" t="s">
        <v>264</v>
      </c>
      <c r="B85" s="101" t="s">
        <v>241</v>
      </c>
      <c r="C85" s="96" t="s">
        <v>126</v>
      </c>
      <c r="D85" s="111" t="s">
        <v>38</v>
      </c>
      <c r="E85" s="111"/>
      <c r="F85" s="138"/>
      <c r="G85" s="139"/>
      <c r="H85" s="140">
        <f>1505.59+600-246.68+557.35+100+807.62-78.75+1102.2</f>
        <v>4347.33</v>
      </c>
      <c r="I85" s="140">
        <v>1505.59</v>
      </c>
      <c r="J85" s="140">
        <v>1505.59</v>
      </c>
      <c r="K85" s="114">
        <f t="shared" si="2"/>
        <v>7358.51</v>
      </c>
      <c r="L85" s="101"/>
    </row>
    <row r="86" spans="1:12" ht="15.75">
      <c r="A86" s="74"/>
      <c r="B86" s="75" t="s">
        <v>28</v>
      </c>
      <c r="C86" s="75"/>
      <c r="D86" s="76"/>
      <c r="E86" s="76"/>
      <c r="F86" s="76"/>
      <c r="G86" s="76"/>
      <c r="H86" s="77">
        <f>SUM(H68:H85)</f>
        <v>43430.48999999999</v>
      </c>
      <c r="I86" s="77">
        <f>SUM(I68:I85)</f>
        <v>32401.91</v>
      </c>
      <c r="J86" s="77">
        <f>SUM(J68:J85)</f>
        <v>32401.91</v>
      </c>
      <c r="K86" s="77">
        <f>SUM(K68:K85)</f>
        <v>108234.31000000001</v>
      </c>
      <c r="L86" s="75"/>
    </row>
    <row r="87" spans="1:13" ht="45" customHeight="1">
      <c r="A87" s="146" t="s">
        <v>33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8"/>
      <c r="M87" s="6"/>
    </row>
    <row r="88" spans="1:12" s="8" customFormat="1" ht="150.75" customHeight="1">
      <c r="A88" s="32" t="s">
        <v>93</v>
      </c>
      <c r="B88" s="35" t="s">
        <v>112</v>
      </c>
      <c r="C88" s="20" t="s">
        <v>126</v>
      </c>
      <c r="D88" s="50" t="s">
        <v>38</v>
      </c>
      <c r="E88" s="50" t="s">
        <v>41</v>
      </c>
      <c r="F88" s="36" t="s">
        <v>144</v>
      </c>
      <c r="G88" s="17" t="s">
        <v>26</v>
      </c>
      <c r="H88" s="22">
        <f>1200+873.7-62.84</f>
        <v>2010.86</v>
      </c>
      <c r="I88" s="24">
        <v>1200</v>
      </c>
      <c r="J88" s="24">
        <v>1200</v>
      </c>
      <c r="K88" s="78">
        <f>SUM(H88:J88)</f>
        <v>4410.86</v>
      </c>
      <c r="L88" s="56" t="s">
        <v>242</v>
      </c>
    </row>
    <row r="89" spans="1:12" s="8" customFormat="1" ht="150" customHeight="1">
      <c r="A89" s="111" t="s">
        <v>94</v>
      </c>
      <c r="B89" s="125" t="s">
        <v>115</v>
      </c>
      <c r="C89" s="96" t="s">
        <v>126</v>
      </c>
      <c r="D89" s="94" t="s">
        <v>38</v>
      </c>
      <c r="E89" s="97" t="s">
        <v>196</v>
      </c>
      <c r="F89" s="126" t="s">
        <v>145</v>
      </c>
      <c r="G89" s="98" t="s">
        <v>26</v>
      </c>
      <c r="H89" s="108">
        <f>2102.9+62.84-9.42</f>
        <v>2156.32</v>
      </c>
      <c r="I89" s="108">
        <f>2102.9</f>
        <v>2102.9</v>
      </c>
      <c r="J89" s="108">
        <f>2102.9</f>
        <v>2102.9</v>
      </c>
      <c r="K89" s="127">
        <f>SUM(H89:J89)</f>
        <v>6362.120000000001</v>
      </c>
      <c r="L89" s="121" t="s">
        <v>243</v>
      </c>
    </row>
    <row r="90" spans="1:12" s="8" customFormat="1" ht="246" customHeight="1">
      <c r="A90" s="32" t="s">
        <v>203</v>
      </c>
      <c r="B90" s="57" t="s">
        <v>70</v>
      </c>
      <c r="C90" s="20" t="s">
        <v>126</v>
      </c>
      <c r="D90" s="50" t="s">
        <v>38</v>
      </c>
      <c r="E90" s="50" t="s">
        <v>41</v>
      </c>
      <c r="F90" s="36" t="s">
        <v>128</v>
      </c>
      <c r="G90" s="17" t="s">
        <v>26</v>
      </c>
      <c r="H90" s="37">
        <f>90.3-15.11-75.19</f>
        <v>0</v>
      </c>
      <c r="I90" s="79">
        <v>90.3</v>
      </c>
      <c r="J90" s="79">
        <v>90.3</v>
      </c>
      <c r="K90" s="78">
        <f>SUM(H90:J90)</f>
        <v>180.6</v>
      </c>
      <c r="L90" s="56" t="s">
        <v>219</v>
      </c>
    </row>
    <row r="91" spans="1:12" s="8" customFormat="1" ht="241.5" customHeight="1">
      <c r="A91" s="32" t="s">
        <v>204</v>
      </c>
      <c r="B91" s="35" t="s">
        <v>186</v>
      </c>
      <c r="C91" s="20" t="s">
        <v>126</v>
      </c>
      <c r="D91" s="50" t="s">
        <v>38</v>
      </c>
      <c r="E91" s="50" t="s">
        <v>41</v>
      </c>
      <c r="F91" s="36" t="s">
        <v>146</v>
      </c>
      <c r="G91" s="17" t="s">
        <v>26</v>
      </c>
      <c r="H91" s="22">
        <v>1510.8</v>
      </c>
      <c r="I91" s="24"/>
      <c r="J91" s="24"/>
      <c r="K91" s="78">
        <f>SUM(H91:J91)</f>
        <v>1510.8</v>
      </c>
      <c r="L91" s="35" t="s">
        <v>51</v>
      </c>
    </row>
    <row r="92" spans="1:12" s="8" customFormat="1" ht="246" customHeight="1">
      <c r="A92" s="32" t="s">
        <v>188</v>
      </c>
      <c r="B92" s="35" t="s">
        <v>187</v>
      </c>
      <c r="C92" s="20" t="s">
        <v>126</v>
      </c>
      <c r="D92" s="50" t="s">
        <v>38</v>
      </c>
      <c r="E92" s="50" t="s">
        <v>41</v>
      </c>
      <c r="F92" s="36" t="s">
        <v>189</v>
      </c>
      <c r="G92" s="17" t="s">
        <v>26</v>
      </c>
      <c r="H92" s="22">
        <v>15.11</v>
      </c>
      <c r="I92" s="24"/>
      <c r="J92" s="24"/>
      <c r="K92" s="78">
        <f>SUM(H92:J92)</f>
        <v>15.11</v>
      </c>
      <c r="L92" s="35" t="s">
        <v>51</v>
      </c>
    </row>
    <row r="93" spans="1:12" ht="15.75">
      <c r="A93" s="75"/>
      <c r="B93" s="75" t="s">
        <v>42</v>
      </c>
      <c r="C93" s="75"/>
      <c r="D93" s="75"/>
      <c r="E93" s="75"/>
      <c r="F93" s="75"/>
      <c r="G93" s="75"/>
      <c r="H93" s="80">
        <f>SUM(H88:H92)</f>
        <v>5693.09</v>
      </c>
      <c r="I93" s="80">
        <f>SUM(I88:I92)</f>
        <v>3393.2000000000003</v>
      </c>
      <c r="J93" s="80">
        <f>SUM(J88:J92)</f>
        <v>3393.2000000000003</v>
      </c>
      <c r="K93" s="80">
        <f>SUM(K88:K92)</f>
        <v>12479.49</v>
      </c>
      <c r="L93" s="80">
        <f>SUM(L88:L92)</f>
        <v>0</v>
      </c>
    </row>
    <row r="94" spans="1:13" ht="60.75" customHeight="1">
      <c r="A94" s="146" t="s">
        <v>244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8"/>
      <c r="M94" s="6"/>
    </row>
    <row r="95" spans="1:12" ht="165.75" customHeight="1">
      <c r="A95" s="81" t="s">
        <v>95</v>
      </c>
      <c r="B95" s="82" t="s">
        <v>29</v>
      </c>
      <c r="C95" s="20" t="s">
        <v>126</v>
      </c>
      <c r="D95" s="50" t="s">
        <v>38</v>
      </c>
      <c r="E95" s="50" t="s">
        <v>41</v>
      </c>
      <c r="F95" s="83" t="s">
        <v>122</v>
      </c>
      <c r="G95" s="17" t="s">
        <v>26</v>
      </c>
      <c r="H95" s="37"/>
      <c r="I95" s="37"/>
      <c r="J95" s="37"/>
      <c r="K95" s="38">
        <f>SUM(H95:J95)</f>
        <v>0</v>
      </c>
      <c r="L95" s="82" t="s">
        <v>96</v>
      </c>
    </row>
    <row r="96" spans="1:12" ht="183.75" customHeight="1">
      <c r="A96" s="81" t="s">
        <v>99</v>
      </c>
      <c r="B96" s="56" t="s">
        <v>245</v>
      </c>
      <c r="C96" s="20" t="s">
        <v>126</v>
      </c>
      <c r="D96" s="50" t="s">
        <v>38</v>
      </c>
      <c r="E96" s="50" t="s">
        <v>41</v>
      </c>
      <c r="F96" s="83" t="s">
        <v>123</v>
      </c>
      <c r="G96" s="59"/>
      <c r="H96" s="22"/>
      <c r="I96" s="22"/>
      <c r="J96" s="22"/>
      <c r="K96" s="38">
        <f>SUM(H96:J96)</f>
        <v>0</v>
      </c>
      <c r="L96" s="56" t="s">
        <v>97</v>
      </c>
    </row>
    <row r="97" spans="1:12" s="8" customFormat="1" ht="130.5" customHeight="1">
      <c r="A97" s="69" t="s">
        <v>98</v>
      </c>
      <c r="B97" s="54" t="s">
        <v>43</v>
      </c>
      <c r="C97" s="20" t="s">
        <v>126</v>
      </c>
      <c r="D97" s="50" t="s">
        <v>38</v>
      </c>
      <c r="E97" s="50" t="s">
        <v>41</v>
      </c>
      <c r="F97" s="83" t="s">
        <v>124</v>
      </c>
      <c r="G97" s="17" t="s">
        <v>26</v>
      </c>
      <c r="H97" s="61"/>
      <c r="I97" s="61"/>
      <c r="J97" s="61"/>
      <c r="K97" s="38">
        <f>SUM(H97:J97)</f>
        <v>0</v>
      </c>
      <c r="L97" s="71" t="s">
        <v>102</v>
      </c>
    </row>
    <row r="98" spans="1:12" ht="15.75">
      <c r="A98" s="75"/>
      <c r="B98" s="75" t="s">
        <v>35</v>
      </c>
      <c r="C98" s="75"/>
      <c r="D98" s="75"/>
      <c r="E98" s="75"/>
      <c r="F98" s="75"/>
      <c r="G98" s="75"/>
      <c r="H98" s="80">
        <f>SUM(H95:H97)</f>
        <v>0</v>
      </c>
      <c r="I98" s="80">
        <f>SUM(I95:I97)</f>
        <v>0</v>
      </c>
      <c r="J98" s="80">
        <f>SUM(J95:J97)</f>
        <v>0</v>
      </c>
      <c r="K98" s="80">
        <f>SUM(K95:K97)</f>
        <v>0</v>
      </c>
      <c r="L98" s="75"/>
    </row>
    <row r="99" spans="1:13" ht="33.75" customHeight="1">
      <c r="A99" s="146" t="s">
        <v>104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8"/>
      <c r="M99" s="6"/>
    </row>
    <row r="100" spans="1:12" ht="104.25" customHeight="1">
      <c r="A100" s="84" t="s">
        <v>100</v>
      </c>
      <c r="B100" s="82" t="s">
        <v>30</v>
      </c>
      <c r="C100" s="20" t="s">
        <v>126</v>
      </c>
      <c r="D100" s="32" t="s">
        <v>38</v>
      </c>
      <c r="E100" s="32" t="s">
        <v>41</v>
      </c>
      <c r="F100" s="47" t="s">
        <v>36</v>
      </c>
      <c r="G100" s="17" t="s">
        <v>26</v>
      </c>
      <c r="H100" s="22">
        <v>0</v>
      </c>
      <c r="I100" s="22">
        <v>0</v>
      </c>
      <c r="J100" s="22"/>
      <c r="K100" s="23">
        <f>SUM(H100:J100)</f>
        <v>0</v>
      </c>
      <c r="L100" s="82" t="s">
        <v>31</v>
      </c>
    </row>
    <row r="101" spans="1:12" ht="91.5" customHeight="1">
      <c r="A101" s="85" t="s">
        <v>101</v>
      </c>
      <c r="B101" s="56" t="s">
        <v>32</v>
      </c>
      <c r="C101" s="20" t="s">
        <v>126</v>
      </c>
      <c r="D101" s="32" t="s">
        <v>38</v>
      </c>
      <c r="E101" s="85"/>
      <c r="F101" s="85"/>
      <c r="G101" s="85" t="s">
        <v>0</v>
      </c>
      <c r="H101" s="86"/>
      <c r="I101" s="86"/>
      <c r="J101" s="86"/>
      <c r="K101" s="23">
        <f>SUM(H101:J101)</f>
        <v>0</v>
      </c>
      <c r="L101" s="56" t="s">
        <v>246</v>
      </c>
    </row>
    <row r="102" spans="1:12" ht="15.75">
      <c r="A102" s="66"/>
      <c r="B102" s="87" t="s">
        <v>34</v>
      </c>
      <c r="C102" s="87"/>
      <c r="D102" s="66"/>
      <c r="E102" s="66"/>
      <c r="F102" s="66"/>
      <c r="G102" s="66"/>
      <c r="H102" s="67">
        <f>SUM(H100:H101)</f>
        <v>0</v>
      </c>
      <c r="I102" s="67">
        <f>SUM(I100:I101)</f>
        <v>0</v>
      </c>
      <c r="J102" s="67">
        <f>SUM(J100:J101)</f>
        <v>0</v>
      </c>
      <c r="K102" s="67">
        <f>SUM(K100:K101)</f>
        <v>0</v>
      </c>
      <c r="L102" s="66"/>
    </row>
    <row r="103" spans="1:12" ht="19.5" customHeight="1">
      <c r="A103" s="88"/>
      <c r="B103" s="66" t="s">
        <v>16</v>
      </c>
      <c r="C103" s="66"/>
      <c r="D103" s="66"/>
      <c r="E103" s="66"/>
      <c r="F103" s="66"/>
      <c r="G103" s="66"/>
      <c r="H103" s="67">
        <f>H32+H35+H39+H43+H66+H86+H93+H98+H102</f>
        <v>783570.08</v>
      </c>
      <c r="I103" s="67">
        <f>I32+I35+I39+I43+I66+I86+I93+I98+I102</f>
        <v>660727.4400000001</v>
      </c>
      <c r="J103" s="67">
        <f>J32+J35+J39+J43+J66+J86+J93+J98+J102</f>
        <v>660727.4400000001</v>
      </c>
      <c r="K103" s="67">
        <f>K32+K35+K39+K43+K66+K86+K93+K98+K102</f>
        <v>2094813.91</v>
      </c>
      <c r="L103" s="66"/>
    </row>
    <row r="104" spans="1:12" ht="31.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1:12" ht="15">
      <c r="A105" s="90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ht="15.75" hidden="1">
      <c r="A106" s="90"/>
      <c r="B106" s="149" t="s">
        <v>17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</row>
    <row r="107" spans="1:12" ht="15">
      <c r="A107" s="90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1:12" ht="15">
      <c r="A108" s="90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</sheetData>
  <sheetProtection/>
  <mergeCells count="30">
    <mergeCell ref="A99:L99"/>
    <mergeCell ref="B106:L106"/>
    <mergeCell ref="A33:L33"/>
    <mergeCell ref="A32:C32"/>
    <mergeCell ref="A40:L40"/>
    <mergeCell ref="A44:L44"/>
    <mergeCell ref="A66:B66"/>
    <mergeCell ref="A67:L67"/>
    <mergeCell ref="A87:L87"/>
    <mergeCell ref="A94:L94"/>
    <mergeCell ref="A36:L36"/>
    <mergeCell ref="A15:L15"/>
    <mergeCell ref="A8:L8"/>
    <mergeCell ref="A9:L9"/>
    <mergeCell ref="A11:L11"/>
    <mergeCell ref="K12:K13"/>
    <mergeCell ref="H12:J12"/>
    <mergeCell ref="A14:L14"/>
    <mergeCell ref="B12:B13"/>
    <mergeCell ref="L12:L13"/>
    <mergeCell ref="F2:L2"/>
    <mergeCell ref="A1:L1"/>
    <mergeCell ref="A7:L7"/>
    <mergeCell ref="A12:A13"/>
    <mergeCell ref="D12:G12"/>
    <mergeCell ref="K6:L6"/>
    <mergeCell ref="A10:L10"/>
    <mergeCell ref="K3:L3"/>
    <mergeCell ref="A4:L4"/>
    <mergeCell ref="A5:L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2019-12-11T09:03:14Z</cp:lastPrinted>
  <dcterms:created xsi:type="dcterms:W3CDTF">2010-09-05T13:57:35Z</dcterms:created>
  <dcterms:modified xsi:type="dcterms:W3CDTF">2020-01-10T03:47:41Z</dcterms:modified>
  <cp:category/>
  <cp:version/>
  <cp:contentType/>
  <cp:contentStatus/>
</cp:coreProperties>
</file>