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3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<sst xmlns="http://schemas.openxmlformats.org/spreadsheetml/2006/main" count="412" uniqueCount="258">
  <si>
    <t xml:space="preserve"> </t>
  </si>
  <si>
    <t>Экспертиза огнезащитной обработки деревянных конструкций</t>
  </si>
  <si>
    <t>Выведения средств обнаружения пожаров на пульт подразделения пожарной охраны</t>
  </si>
  <si>
    <t>Цели, задачи, мероприятия</t>
  </si>
  <si>
    <t>ГРБС</t>
  </si>
  <si>
    <t>Код бюджетной классификации</t>
  </si>
  <si>
    <t>Расходы (тыс. рублей), годы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</si>
  <si>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</si>
  <si>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</si>
  <si>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</si>
  <si>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</si>
  <si>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открытие 4 дополнительных групп, создание дополнительных100 мест: 2014 г. - 25 мест, 2015 год - 75 мест.</t>
  </si>
  <si>
    <t>2015 год открытие 1 дополнительной группы, создание 6 дополнительных мест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</si>
  <si>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</si>
  <si>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</si>
  <si>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</si>
  <si>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Приобретение мебели и оборудования для новых групп</t>
  </si>
  <si>
    <t>Созданы условия для 100 детей в возрасте от 3 до 7 лет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</si>
  <si>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</si>
  <si>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</si>
  <si>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</si>
  <si>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</si>
  <si>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</si>
  <si>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Руководитель Управления образованием                    Л.Ф. Буйницкая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</si>
  <si>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</si>
  <si>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</si>
  <si>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</si>
  <si>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2.2.</t>
  </si>
  <si>
    <t xml:space="preserve">2.3. 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</si>
  <si>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</si>
  <si>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2    Создание дополнительных мест для получения детьми дошкольного возраста дошкольного образования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</si>
  <si>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</si>
  <si>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</si>
  <si>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</si>
  <si>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>336 воспитателей, младших воспитателей получают ежемесячные выплаты</t>
  </si>
  <si>
    <t>1260.  детей из малообеспеченных семей получают бесплатное школьное питание</t>
  </si>
  <si>
    <t xml:space="preserve">   </t>
  </si>
  <si>
    <t>611   612    621    622</t>
  </si>
  <si>
    <t xml:space="preserve">14 детей  получают льготу </t>
  </si>
  <si>
    <t>Итого по задаче 6</t>
  </si>
  <si>
    <t>Текущий ремонт сетей водоснабжения и канализации, установка поддонов для уборочного инвентаря выполнено в 1-м учреждении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</si>
  <si>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</si>
  <si>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</si>
  <si>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</si>
  <si>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</si>
  <si>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</si>
  <si>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обороны,чрезвычайным ситуациям и ликвидации последствий стихийных бедствий (МЧС) по Красноярскому краю (Отдел надзорной деятельности по г.Шарыпово,Шарыповскому и Ужурским районам)</t>
  </si>
  <si>
    <t>Итого по задаче 9</t>
  </si>
  <si>
    <t>Итого по задаче 8</t>
  </si>
  <si>
    <t>01.1.8502</t>
  </si>
  <si>
    <t>01.1.8509</t>
  </si>
  <si>
    <t>01.1.7557</t>
  </si>
  <si>
    <t xml:space="preserve">611   612   </t>
  </si>
  <si>
    <t>01.1.7421</t>
  </si>
  <si>
    <t>621    622</t>
  </si>
  <si>
    <t>621      622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</si>
  <si>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</si>
  <si>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</si>
  <si>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</si>
  <si>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</si>
  <si>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</si>
  <si>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</si>
  <si>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01.01.8739  01.1.5059</t>
  </si>
  <si>
    <t>Капитальный ремонт мягкой кровли</t>
  </si>
  <si>
    <t>01.1.7746      01.1.8759</t>
  </si>
  <si>
    <t>В 1-м учреждении дошкольного образования произведен капитальный ремонт мягкой кровли</t>
  </si>
  <si>
    <t>Текущий ремонт сетей водоснабжения и канализации.</t>
  </si>
  <si>
    <t>01.1.8518</t>
  </si>
  <si>
    <t>Разработка ПСД на устройство второго эвакуационного выхода</t>
  </si>
  <si>
    <t>313    321     244</t>
  </si>
  <si>
    <t>Ежегодно 4656 человека получают услуги общего образования</t>
  </si>
  <si>
    <t>Ежегодно 6711 человека получают услуги дополнительного  образования</t>
  </si>
  <si>
    <t>01.1.7746</t>
  </si>
  <si>
    <t xml:space="preserve">0701,  0702,    </t>
  </si>
  <si>
    <t>01.1.7554  01.1.0075540</t>
  </si>
  <si>
    <t>01.1.1021    01.1.0010210</t>
  </si>
  <si>
    <t>01.1.7556    01.1.0075560</t>
  </si>
  <si>
    <t>01.1.7558       01.10075580</t>
  </si>
  <si>
    <t xml:space="preserve">01.1.0075660   01.1.7566    </t>
  </si>
  <si>
    <t>01.1.1021        01.1.0010210</t>
  </si>
  <si>
    <t>01.01.8734       01.1.0087340</t>
  </si>
  <si>
    <t>01.1.8518     01.1.0085180</t>
  </si>
  <si>
    <t xml:space="preserve">к подпрограмме "Развитие дошкольного, общего и дополнительного обрвазования" </t>
  </si>
  <si>
    <t xml:space="preserve">    01.1.0010220</t>
  </si>
  <si>
    <t>01.1.1021      01.1.0010210</t>
  </si>
  <si>
    <t xml:space="preserve">     01.1.0010220</t>
  </si>
  <si>
    <t xml:space="preserve">        01.1.0010220</t>
  </si>
  <si>
    <t>Капитальный ремонт зданий под дошкольное образовательное учреждение, благоустройство прилегающей территории, оборудование детских площадок, приобретение мебели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</si>
  <si>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</si>
  <si>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</si>
  <si>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>Предоставление субсидии на модернизацию материально-технической базы учреждений дополнительного образования детей, реализующих образовательные программы дополнительного образования детей технической направленности.</t>
  </si>
  <si>
    <t>Восстановлено  наружное освещения в 18-ти учреждениях</t>
  </si>
  <si>
    <t>01.100S5630</t>
  </si>
  <si>
    <t>в 5-х учреждениях произведен текущий ремонт вытяжной вентиляции в помещении мастерских</t>
  </si>
  <si>
    <t>Произведено приобретение и установка системы видеонаблюдения в 5-ти учреждениях</t>
  </si>
  <si>
    <t>В 4-х учреждениях созданы условия для инклюзивного образования детей-инвалидов</t>
  </si>
  <si>
    <t>01.1.0085030    01.1.8503</t>
  </si>
  <si>
    <t>01.1.1031        01.1.0010310</t>
  </si>
  <si>
    <t xml:space="preserve">  01.100S3980</t>
  </si>
  <si>
    <t xml:space="preserve">611   612    621    622   </t>
  </si>
  <si>
    <t xml:space="preserve">  01.10073980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</si>
  <si>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</si>
  <si>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01.100S5631</t>
  </si>
  <si>
    <t>01.1.0088150</t>
  </si>
  <si>
    <t>Оплата исполнительных листов по выплате компенсации части родительской платы за содержание ребенка в муниципальных образовательных учреждениях Красноярского края</t>
  </si>
  <si>
    <t>Произведено исполнение одного исполнительного документа</t>
  </si>
  <si>
    <t>Текущий ремонт кровли произведен в 4-х учреждении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</si>
  <si>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</si>
  <si>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</si>
  <si>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</si>
  <si>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01.1.8504    01.1.0085040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</si>
  <si>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</si>
  <si>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</si>
  <si>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Софинансирование расходов, направленных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"Развитие дошкольного, общего и дополнительного образования детей"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</si>
  <si>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</si>
  <si>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</si>
  <si>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</si>
  <si>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 xml:space="preserve">           01.100S099А</t>
  </si>
  <si>
    <t xml:space="preserve">2.4. </t>
  </si>
  <si>
    <t xml:space="preserve">2.5. </t>
  </si>
  <si>
    <t xml:space="preserve">01.1.8750,     01.1.5027             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</si>
  <si>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</si>
  <si>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</si>
  <si>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 xml:space="preserve">01.1.8501  01.1.0085010     </t>
  </si>
  <si>
    <t xml:space="preserve">01.1.7511     01.10075110   </t>
  </si>
  <si>
    <t xml:space="preserve">     01.1.7511        01.10075110   </t>
  </si>
  <si>
    <t xml:space="preserve"> 01.1.7564       01.1.0074090    01.1.0075640    </t>
  </si>
  <si>
    <t xml:space="preserve">     01.1.7511          01.10075110  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</si>
  <si>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 за счет средств бюджета города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</si>
  <si>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</si>
  <si>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</si>
  <si>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</si>
  <si>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</si>
  <si>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Софинансирование расходов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учреждения, реконструкции и капитального ремонта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</si>
  <si>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</si>
  <si>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</si>
  <si>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</si>
  <si>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</si>
  <si>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</si>
  <si>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</si>
  <si>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01.1.8505    01.1.0085050       01.1.0087370</t>
  </si>
  <si>
    <t>Софинансирование расходов предусмотренные на приобретение электронных стендов с изображениями схем безопасного движения к общеобразовательным организациям в рамках подпрограммы "Развитие дошкольного, общего и дополнительного образования"</t>
  </si>
  <si>
    <t xml:space="preserve">0702,    </t>
  </si>
  <si>
    <t xml:space="preserve">           01.100S3981</t>
  </si>
  <si>
    <t xml:space="preserve">  01.1.0087990</t>
  </si>
  <si>
    <t>Санитарная обработка инфекционных вспышек (гельмиты)</t>
  </si>
  <si>
    <t>Софинансирование расходов предусмотренные на 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 в рамках подпрограммы "Развитие дошкольного, общего и дополнительного образования"</t>
  </si>
  <si>
    <t>01.100S3982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</si>
  <si>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</si>
  <si>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0702    0707</t>
  </si>
  <si>
    <t xml:space="preserve">   01.100S7460      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</si>
  <si>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</si>
  <si>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Итого за период  2014-2019 годы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</si>
  <si>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</si>
  <si>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</si>
  <si>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</si>
  <si>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</si>
  <si>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</si>
  <si>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детей посещают дошкольные образовательные учреждения</t>
  </si>
  <si>
    <t>Стабильное посещение 360 детей групп предшкольного образования: 2014 г. - 112 детей, 2015 год - 112 детей, 2016 год - 34 ребенка, 2017 год - 34 ребенка, 2018 год - 34 ребенка, 2019 год - 34 ребенка</t>
  </si>
  <si>
    <t>Услуги общего образования получают: 2014 год -4785 человек, 2015 год - 4819 человек, 2016 год - 5003 человек, 2017 год - 5044 человек, 2018 год - 5152 человек, 2019 год - 5250 человек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</si>
  <si>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</si>
  <si>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</si>
  <si>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</si>
  <si>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</si>
  <si>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</si>
  <si>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</si>
  <si>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1.5.</t>
  </si>
  <si>
    <t>1.6.</t>
  </si>
  <si>
    <t>194  человека ежемесячно получают оплату труда до минимального размера оплаты труда</t>
  </si>
  <si>
    <t>1.7.</t>
  </si>
  <si>
    <t>1.8.</t>
  </si>
  <si>
    <t>1.9.</t>
  </si>
  <si>
    <t>1.10.</t>
  </si>
  <si>
    <t>1.11.</t>
  </si>
  <si>
    <t>1.12.</t>
  </si>
  <si>
    <t>2.1.</t>
  </si>
  <si>
    <t>3.1.</t>
  </si>
  <si>
    <t>3.2.</t>
  </si>
  <si>
    <t>произведено благоустройство территории в 1-м учреждении</t>
  </si>
  <si>
    <t>4.1.</t>
  </si>
  <si>
    <t>4.2.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</si>
  <si>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</si>
  <si>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</si>
  <si>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</si>
  <si>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</si>
  <si>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</si>
  <si>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</si>
  <si>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</si>
  <si>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</si>
  <si>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</si>
  <si>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</si>
  <si>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</si>
  <si>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</si>
  <si>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6.2.</t>
  </si>
  <si>
    <t>6.3.</t>
  </si>
  <si>
    <t>6.4.</t>
  </si>
  <si>
    <t>6.5.</t>
  </si>
  <si>
    <t>6.6.</t>
  </si>
  <si>
    <t>6.7.</t>
  </si>
  <si>
    <t>6.8.</t>
  </si>
  <si>
    <t>Ежегодно 6711 человек получают услуги дополнительного  образования</t>
  </si>
  <si>
    <t>7.1.</t>
  </si>
  <si>
    <t>Проведено 53 мероприятия  с численностью участников 12000 человек ежегодно</t>
  </si>
  <si>
    <t>в 2-х  учреждениях произведен текущий ремонт водоснабжения и канализации в помещении   мастерских</t>
  </si>
  <si>
    <t>7.2.</t>
  </si>
  <si>
    <t>7.4.</t>
  </si>
  <si>
    <t>7.5.</t>
  </si>
  <si>
    <t>7.7.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</si>
  <si>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</si>
  <si>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</si>
  <si>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В 9-ти учреждениях проведены  выведения средств обнаружения пожаров на пульт подразделения пожарной охраны</t>
  </si>
  <si>
    <t>8.3.</t>
  </si>
  <si>
    <t>8.2.</t>
  </si>
  <si>
    <t>9.1.</t>
  </si>
  <si>
    <t>9.2.</t>
  </si>
  <si>
    <t>Строительство и реконструкция зданий дошкольных образовательных учреждений</t>
  </si>
  <si>
    <t xml:space="preserve">Для 1-го   учреждения разработана ПСД на устройство второго эвакуационного выхода 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</si>
  <si>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</si>
  <si>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Ежемесячно 62 педагога получают стимулирующие выплаты, в соответствии с Указами Президента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</si>
  <si>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</si>
  <si>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</si>
  <si>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</si>
  <si>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0702     0707     0709   0703</t>
  </si>
  <si>
    <t>0702   0703</t>
  </si>
  <si>
    <t>0702    0703    0707</t>
  </si>
  <si>
    <t>Родительская плата за содержание ребенка в муниципальных дошкольных образовательных учреждениях, благотворительные пожертвования,спонсорская помощь, платные услуги</t>
  </si>
  <si>
    <t>Плата родителей за питание детей в школьной столовой,благотворительные пожетрвования, спонсорская помощь, платные услуги</t>
  </si>
  <si>
    <t>Благотворительные пожертвования, спонсорская помощь,платные услуги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</si>
  <si>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</si>
  <si>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</si>
  <si>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 xml:space="preserve">01.1.8519  01.1.0085190     </t>
  </si>
  <si>
    <t xml:space="preserve"> 01.1.7588  01.1.0074080    01.1.0075880     </t>
  </si>
  <si>
    <t>1.13.</t>
  </si>
  <si>
    <t xml:space="preserve">  01.18745  01.10075630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</si>
  <si>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</si>
  <si>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 xml:space="preserve">  01.1.8509             01.10085090</t>
  </si>
  <si>
    <t xml:space="preserve">01.1.8747   </t>
  </si>
  <si>
    <t>01.1.8759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</si>
  <si>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</si>
  <si>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</si>
  <si>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</si>
  <si>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3.3.</t>
  </si>
  <si>
    <t>73.</t>
  </si>
  <si>
    <t>7.6.</t>
  </si>
  <si>
    <t>611   612    621    622   321</t>
  </si>
  <si>
    <t>В том числе капитальный ремонт оконных блоков                МАОУ СОШ №3                          МБОУ СОШ №6</t>
  </si>
  <si>
    <t xml:space="preserve">                        814915      914685</t>
  </si>
  <si>
    <t xml:space="preserve">17296       0  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</si>
  <si>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</si>
  <si>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</si>
  <si>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6.9.</t>
  </si>
  <si>
    <t xml:space="preserve">    01.1.0010420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</si>
  <si>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</si>
  <si>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Ежемесячно 29 педагога получают стимулирующие выплаты</t>
  </si>
  <si>
    <t>Руководитель Управления образованием Администрации города Шарыпово                                                                                                  Л.Ф. Буйницкая</t>
  </si>
  <si>
    <t>образования "город Шарыпово Красноярского края"</t>
  </si>
  <si>
    <t xml:space="preserve">    Приложение № 3 к постановлению от 29.12.2017 №307                                                                                                                                                                                                                             Приложение №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</si>
</sst>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wrapText="1"/>
    </xf>
    <xf numFmtId="181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1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 wrapText="1"/>
    </xf>
    <xf numFmtId="49" fontId="1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49" fontId="1" fillId="33" borderId="10" xfId="0" applyNumberFormat="1" applyFont="1" applyFill="1" applyBorder="1" applyAlignment="1">
      <alignment horizontal="center" vertical="top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14" fontId="1" fillId="33" borderId="11" xfId="0" applyNumberFormat="1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/>
    </xf>
    <xf numFmtId="2" fontId="1" fillId="33" borderId="10" xfId="0" applyNumberFormat="1" applyFont="1" applyFill="1" applyBorder="1" applyAlignment="1">
      <alignment horizontal="center" vertical="top"/>
    </xf>
    <xf numFmtId="49" fontId="1" fillId="33" borderId="11" xfId="0" applyNumberFormat="1" applyFont="1" applyFill="1" applyBorder="1" applyAlignment="1">
      <alignment vertical="top"/>
    </xf>
    <xf numFmtId="49" fontId="1" fillId="33" borderId="11" xfId="0" applyNumberFormat="1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vertical="top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1" fillId="33" borderId="0" xfId="0" applyNumberFormat="1" applyFont="1" applyFill="1" applyAlignment="1">
      <alignment horizontal="right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15" xfId="0" applyNumberFormat="1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vertical="top" wrapText="1"/>
    </xf>
    <xf numFmtId="16" fontId="1" fillId="33" borderId="12" xfId="0" applyNumberFormat="1" applyFont="1" applyFill="1" applyBorder="1" applyAlignment="1">
      <alignment vertical="top"/>
    </xf>
    <xf numFmtId="0" fontId="1" fillId="33" borderId="12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49" fontId="1" fillId="33" borderId="16" xfId="0" applyNumberFormat="1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181" fontId="1" fillId="33" borderId="10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left" vertical="top" wrapText="1"/>
    </xf>
    <xf numFmtId="14" fontId="1" fillId="33" borderId="12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vertical="top"/>
    </xf>
    <xf numFmtId="2" fontId="1" fillId="33" borderId="10" xfId="0" applyNumberFormat="1" applyFont="1" applyFill="1" applyBorder="1" applyAlignment="1">
      <alignment vertical="top"/>
    </xf>
    <xf numFmtId="49" fontId="1" fillId="33" borderId="11" xfId="0" applyNumberFormat="1" applyFont="1" applyFill="1" applyBorder="1" applyAlignment="1">
      <alignment horizontal="center" vertical="top"/>
    </xf>
    <xf numFmtId="2" fontId="1" fillId="33" borderId="11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3" borderId="12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181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vertical="top"/>
    </xf>
    <xf numFmtId="2" fontId="2" fillId="33" borderId="11" xfId="0" applyNumberFormat="1" applyFont="1" applyFill="1" applyBorder="1" applyAlignment="1">
      <alignment horizontal="center" vertical="top"/>
    </xf>
    <xf numFmtId="2" fontId="2" fillId="33" borderId="12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vertical="top"/>
    </xf>
    <xf numFmtId="0" fontId="1" fillId="33" borderId="14" xfId="0" applyFont="1" applyFill="1" applyBorder="1" applyAlignment="1">
      <alignment horizontal="left" vertical="top" wrapText="1"/>
    </xf>
    <xf numFmtId="14" fontId="1" fillId="33" borderId="11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center" wrapText="1"/>
    </xf>
    <xf numFmtId="49" fontId="6" fillId="33" borderId="21" xfId="0" applyNumberFormat="1" applyFont="1" applyFill="1" applyBorder="1" applyAlignment="1">
      <alignment horizontal="center" wrapText="1"/>
    </xf>
    <xf numFmtId="49" fontId="6" fillId="33" borderId="16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tabSelected="1" zoomScale="75" zoomScaleNormal="75" zoomScalePageLayoutView="0" workbookViewId="0" topLeftCell="A96">
      <selection activeCell="N8" sqref="N8:N9"/>
    </sheetView>
  </sheetViews>
  <sheetFormatPr defaultColWidth="9.00390625" defaultRowHeight="12.75"/>
  <cols>
    <col min="1" max="1" width="3.875" style="20" customWidth="1"/>
    <col min="2" max="2" width="39.00390625" style="21" customWidth="1"/>
    <col min="3" max="3" width="4.625" style="21" customWidth="1"/>
    <col min="4" max="4" width="5.625" style="21" customWidth="1"/>
    <col min="5" max="5" width="13.50390625" style="21" customWidth="1"/>
    <col min="6" max="6" width="6.125" style="21" customWidth="1"/>
    <col min="7" max="7" width="11.625" style="21" customWidth="1"/>
    <col min="8" max="8" width="11.125" style="21" customWidth="1"/>
    <col min="9" max="12" width="10.875" style="21" customWidth="1"/>
    <col min="13" max="13" width="12.875" style="21" customWidth="1"/>
    <col min="14" max="14" width="19.625" style="21" customWidth="1"/>
    <col min="15" max="15" width="11.00390625" style="0" bestFit="1" customWidth="1"/>
  </cols>
  <sheetData>
    <row r="1" spans="1:14" ht="21.75" customHeight="1" hidden="1">
      <c r="A1" s="104" t="s">
        <v>114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21.75" customHeight="1" hidden="1">
      <c r="A2" s="17"/>
      <c r="B2" s="18"/>
      <c r="C2" s="18"/>
      <c r="D2" s="18"/>
      <c r="E2" s="103" t="s">
        <v>115</v>
      </c>
      <c r="F2" s="103"/>
      <c r="G2" s="103"/>
      <c r="H2" s="103"/>
      <c r="I2" s="103"/>
      <c r="J2" s="103"/>
      <c r="K2" s="103"/>
      <c r="L2" s="103"/>
      <c r="M2" s="103"/>
      <c r="N2" s="103"/>
    </row>
    <row r="3" spans="1:14" ht="30.75" customHeight="1">
      <c r="A3" s="37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6" t="s">
        <v>257</v>
      </c>
      <c r="N3" s="106"/>
    </row>
    <row r="4" spans="1:14" ht="18.75" customHeight="1">
      <c r="A4" s="106" t="s">
        <v>82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3.5" customHeight="1">
      <c r="A5" s="106" t="s">
        <v>154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20.25" customHeight="1">
      <c r="A6" s="106" t="s">
        <v>256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51.75" customHeight="1">
      <c r="A7" s="116" t="s">
        <v>153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18"/>
    </row>
    <row r="8" spans="1:14" ht="40.5" customHeight="1">
      <c r="A8" s="112" t="s">
        <v>0</v>
      </c>
      <c r="B8" s="111" t="s">
        <v>3</v>
      </c>
      <c r="C8" s="111" t="s">
        <v>5</v>
      </c>
      <c r="D8" s="111"/>
      <c r="E8" s="111"/>
      <c r="F8" s="111"/>
      <c r="G8" s="111" t="s">
        <v>6</v>
      </c>
      <c r="H8" s="111"/>
      <c r="I8" s="111"/>
      <c r="J8" s="111"/>
      <c r="K8" s="111"/>
      <c r="L8" s="111"/>
      <c r="M8" s="111" t="s">
        <v>152</v>
      </c>
      <c r="N8" s="111" t="s">
        <v>10</v>
      </c>
    </row>
    <row r="9" spans="1:14" ht="40.5" customHeight="1">
      <c r="A9" s="112"/>
      <c r="B9" s="111"/>
      <c r="C9" s="101" t="s">
        <v>4</v>
      </c>
      <c r="D9" s="101" t="s">
        <v>7</v>
      </c>
      <c r="E9" s="101" t="s">
        <v>8</v>
      </c>
      <c r="F9" s="101" t="s">
        <v>9</v>
      </c>
      <c r="G9" s="101">
        <v>2014</v>
      </c>
      <c r="H9" s="101">
        <v>2015</v>
      </c>
      <c r="I9" s="101">
        <v>2016</v>
      </c>
      <c r="J9" s="101">
        <v>2017</v>
      </c>
      <c r="K9" s="101">
        <v>2018</v>
      </c>
      <c r="L9" s="101">
        <v>2019</v>
      </c>
      <c r="M9" s="111"/>
      <c r="N9" s="111"/>
    </row>
    <row r="10" spans="1:14" s="3" customFormat="1" ht="18.75" customHeight="1">
      <c r="A10" s="108" t="s">
        <v>13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1:14" ht="22.5" customHeight="1">
      <c r="A11" s="113" t="s">
        <v>24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5"/>
    </row>
    <row r="12" spans="1:14" s="7" customFormat="1" ht="385.5" customHeight="1">
      <c r="A12" s="102" t="s">
        <v>163</v>
      </c>
      <c r="B12" s="38" t="s">
        <v>249</v>
      </c>
      <c r="C12" s="102" t="s">
        <v>57</v>
      </c>
      <c r="D12" s="102" t="s">
        <v>58</v>
      </c>
      <c r="E12" s="46" t="s">
        <v>232</v>
      </c>
      <c r="F12" s="101" t="s">
        <v>37</v>
      </c>
      <c r="G12" s="101">
        <f>183993.01-60622.48-22400.45-18809.14+847.92+669.24</f>
        <v>83678.1</v>
      </c>
      <c r="H12" s="101">
        <v>107764.2</v>
      </c>
      <c r="I12" s="47">
        <v>184093.5</v>
      </c>
      <c r="J12" s="47">
        <f>60461+129817.9+25556.3-25556.3-1877.7+325.9+1182.9</f>
        <v>189909.99999999997</v>
      </c>
      <c r="K12" s="47">
        <f>215835.2-25556.3</f>
        <v>190278.90000000002</v>
      </c>
      <c r="L12" s="47">
        <f>215835.2-25556.3</f>
        <v>190278.90000000002</v>
      </c>
      <c r="M12" s="69">
        <f>SUM(G12:L12)</f>
        <v>946003.6</v>
      </c>
      <c r="N12" s="101" t="s">
        <v>155</v>
      </c>
    </row>
    <row r="13" spans="1:14" s="7" customFormat="1" ht="138" customHeight="1">
      <c r="A13" s="56" t="s">
        <v>164</v>
      </c>
      <c r="B13" s="57" t="s">
        <v>107</v>
      </c>
      <c r="C13" s="56" t="s">
        <v>57</v>
      </c>
      <c r="D13" s="56" t="s">
        <v>58</v>
      </c>
      <c r="E13" s="58" t="s">
        <v>123</v>
      </c>
      <c r="F13" s="59" t="s">
        <v>37</v>
      </c>
      <c r="G13" s="59">
        <f>60622.48</f>
        <v>60622.48</v>
      </c>
      <c r="H13" s="59">
        <v>62394.41</v>
      </c>
      <c r="I13" s="60">
        <v>35354.43</v>
      </c>
      <c r="J13" s="60">
        <f>35501.1-1604.25+12+645.17+778.16+30+844.13+394.36+30.08+760.12-447.49</f>
        <v>36943.380000000005</v>
      </c>
      <c r="K13" s="60">
        <v>35501.1</v>
      </c>
      <c r="L13" s="60">
        <v>35501.1</v>
      </c>
      <c r="M13" s="82">
        <f aca="true" t="shared" si="0" ref="M13:M24">SUM(G13:L13)</f>
        <v>266316.9</v>
      </c>
      <c r="N13" s="61" t="s">
        <v>156</v>
      </c>
    </row>
    <row r="14" spans="1:14" s="7" customFormat="1" ht="169.5" customHeight="1">
      <c r="A14" s="56" t="s">
        <v>165</v>
      </c>
      <c r="B14" s="57" t="s">
        <v>229</v>
      </c>
      <c r="C14" s="56" t="s">
        <v>57</v>
      </c>
      <c r="D14" s="56" t="s">
        <v>58</v>
      </c>
      <c r="E14" s="58" t="s">
        <v>231</v>
      </c>
      <c r="F14" s="59" t="s">
        <v>37</v>
      </c>
      <c r="G14" s="59">
        <v>18809.14</v>
      </c>
      <c r="H14" s="59">
        <v>24056.3</v>
      </c>
      <c r="I14" s="60">
        <v>25556.3</v>
      </c>
      <c r="J14" s="60">
        <v>25556.3</v>
      </c>
      <c r="K14" s="60">
        <v>25556.3</v>
      </c>
      <c r="L14" s="60">
        <v>25556.3</v>
      </c>
      <c r="M14" s="82">
        <f t="shared" si="0"/>
        <v>145090.64</v>
      </c>
      <c r="N14" s="61" t="s">
        <v>230</v>
      </c>
    </row>
    <row r="15" spans="1:14" s="7" customFormat="1" ht="166.5" customHeight="1">
      <c r="A15" s="102" t="s">
        <v>166</v>
      </c>
      <c r="B15" s="39" t="s">
        <v>122</v>
      </c>
      <c r="C15" s="102" t="s">
        <v>57</v>
      </c>
      <c r="D15" s="102" t="s">
        <v>58</v>
      </c>
      <c r="E15" s="46" t="s">
        <v>124</v>
      </c>
      <c r="F15" s="101" t="s">
        <v>37</v>
      </c>
      <c r="G15" s="101">
        <v>22400.46</v>
      </c>
      <c r="H15" s="101">
        <v>15951.21</v>
      </c>
      <c r="I15" s="47">
        <f>4426.7-722.18</f>
        <v>3704.52</v>
      </c>
      <c r="J15" s="47">
        <f>3212.68+1556.3</f>
        <v>4768.98</v>
      </c>
      <c r="K15" s="47">
        <v>4768.98</v>
      </c>
      <c r="L15" s="47">
        <v>4768.98</v>
      </c>
      <c r="M15" s="69">
        <f t="shared" si="0"/>
        <v>56363.12999999999</v>
      </c>
      <c r="N15" s="100" t="s">
        <v>156</v>
      </c>
    </row>
    <row r="16" spans="1:14" s="7" customFormat="1" ht="247.5" customHeight="1">
      <c r="A16" s="102" t="s">
        <v>167</v>
      </c>
      <c r="B16" s="48" t="s">
        <v>128</v>
      </c>
      <c r="C16" s="102" t="s">
        <v>57</v>
      </c>
      <c r="D16" s="102" t="s">
        <v>58</v>
      </c>
      <c r="E16" s="102" t="s">
        <v>49</v>
      </c>
      <c r="F16" s="101" t="s">
        <v>37</v>
      </c>
      <c r="G16" s="47">
        <v>8.21</v>
      </c>
      <c r="H16" s="47">
        <f>6.3+0.77</f>
        <v>7.07</v>
      </c>
      <c r="I16" s="47">
        <v>0</v>
      </c>
      <c r="J16" s="47">
        <v>0</v>
      </c>
      <c r="K16" s="47">
        <v>0</v>
      </c>
      <c r="L16" s="47">
        <v>0</v>
      </c>
      <c r="M16" s="69">
        <f t="shared" si="0"/>
        <v>15.280000000000001</v>
      </c>
      <c r="N16" s="100" t="s">
        <v>34</v>
      </c>
    </row>
    <row r="17" spans="1:14" s="3" customFormat="1" ht="388.5" customHeight="1">
      <c r="A17" s="102" t="s">
        <v>168</v>
      </c>
      <c r="B17" s="48" t="s">
        <v>148</v>
      </c>
      <c r="C17" s="102" t="s">
        <v>57</v>
      </c>
      <c r="D17" s="101">
        <v>1003</v>
      </c>
      <c r="E17" s="102" t="s">
        <v>74</v>
      </c>
      <c r="F17" s="101" t="s">
        <v>37</v>
      </c>
      <c r="G17" s="47">
        <v>576</v>
      </c>
      <c r="H17" s="47">
        <v>522</v>
      </c>
      <c r="I17" s="47">
        <v>627.8</v>
      </c>
      <c r="J17" s="47">
        <v>601.7</v>
      </c>
      <c r="K17" s="47">
        <v>601.7</v>
      </c>
      <c r="L17" s="47">
        <v>601.7</v>
      </c>
      <c r="M17" s="69">
        <f t="shared" si="0"/>
        <v>3530.8999999999996</v>
      </c>
      <c r="N17" s="100" t="s">
        <v>38</v>
      </c>
    </row>
    <row r="18" spans="1:15" s="7" customFormat="1" ht="195" customHeight="1">
      <c r="A18" s="102" t="s">
        <v>170</v>
      </c>
      <c r="B18" s="91" t="s">
        <v>129</v>
      </c>
      <c r="C18" s="102" t="s">
        <v>57</v>
      </c>
      <c r="D18" s="102" t="s">
        <v>58</v>
      </c>
      <c r="E18" s="101" t="s">
        <v>75</v>
      </c>
      <c r="F18" s="101" t="s">
        <v>37</v>
      </c>
      <c r="G18" s="47">
        <v>3611.84</v>
      </c>
      <c r="H18" s="47">
        <v>10032.91</v>
      </c>
      <c r="I18" s="47">
        <f>14862.21-1295.42-396.91-667.41</f>
        <v>12502.47</v>
      </c>
      <c r="J18" s="47">
        <f>12644.81-462.21-208.32</f>
        <v>11974.28</v>
      </c>
      <c r="K18" s="47">
        <v>12644.81</v>
      </c>
      <c r="L18" s="47">
        <v>12644.81</v>
      </c>
      <c r="M18" s="69">
        <f t="shared" si="0"/>
        <v>63411.119999999995</v>
      </c>
      <c r="N18" s="100" t="s">
        <v>169</v>
      </c>
      <c r="O18" s="7" t="s">
        <v>36</v>
      </c>
    </row>
    <row r="19" spans="1:14" s="7" customFormat="1" ht="215.25" customHeight="1">
      <c r="A19" s="102" t="s">
        <v>171</v>
      </c>
      <c r="B19" s="48" t="s">
        <v>135</v>
      </c>
      <c r="C19" s="102" t="s">
        <v>57</v>
      </c>
      <c r="D19" s="102" t="s">
        <v>58</v>
      </c>
      <c r="E19" s="101" t="s">
        <v>83</v>
      </c>
      <c r="F19" s="101" t="s">
        <v>37</v>
      </c>
      <c r="G19" s="47">
        <v>214.27</v>
      </c>
      <c r="H19" s="47">
        <v>0</v>
      </c>
      <c r="I19" s="47">
        <f>920.13-31.47+153.94</f>
        <v>1042.6</v>
      </c>
      <c r="J19" s="47">
        <f>1604.25-62.5+7.62</f>
        <v>1549.37</v>
      </c>
      <c r="K19" s="47">
        <v>0</v>
      </c>
      <c r="L19" s="47">
        <v>0</v>
      </c>
      <c r="M19" s="69">
        <f t="shared" si="0"/>
        <v>2806.24</v>
      </c>
      <c r="N19" s="100" t="s">
        <v>169</v>
      </c>
    </row>
    <row r="20" spans="1:14" s="7" customFormat="1" ht="215.25" customHeight="1">
      <c r="A20" s="102" t="s">
        <v>172</v>
      </c>
      <c r="B20" s="48" t="s">
        <v>130</v>
      </c>
      <c r="C20" s="102" t="s">
        <v>57</v>
      </c>
      <c r="D20" s="101">
        <v>1004</v>
      </c>
      <c r="E20" s="102" t="s">
        <v>76</v>
      </c>
      <c r="F20" s="101" t="s">
        <v>69</v>
      </c>
      <c r="G20" s="47">
        <v>4388</v>
      </c>
      <c r="H20" s="47">
        <v>5047.8</v>
      </c>
      <c r="I20" s="47">
        <v>7311</v>
      </c>
      <c r="J20" s="47">
        <v>6454.9</v>
      </c>
      <c r="K20" s="47">
        <v>6454.9</v>
      </c>
      <c r="L20" s="47">
        <v>6454.9</v>
      </c>
      <c r="M20" s="69">
        <f t="shared" si="0"/>
        <v>36111.5</v>
      </c>
      <c r="N20" s="100" t="s">
        <v>157</v>
      </c>
    </row>
    <row r="21" spans="1:14" s="7" customFormat="1" ht="155.25" customHeight="1">
      <c r="A21" s="102" t="s">
        <v>173</v>
      </c>
      <c r="B21" s="49" t="s">
        <v>104</v>
      </c>
      <c r="C21" s="102" t="s">
        <v>57</v>
      </c>
      <c r="D21" s="101">
        <v>1004</v>
      </c>
      <c r="E21" s="102" t="s">
        <v>103</v>
      </c>
      <c r="F21" s="101">
        <v>321</v>
      </c>
      <c r="G21" s="47"/>
      <c r="H21" s="47"/>
      <c r="I21" s="47">
        <v>3.8</v>
      </c>
      <c r="J21" s="47"/>
      <c r="K21" s="47"/>
      <c r="L21" s="47"/>
      <c r="M21" s="69">
        <f t="shared" si="0"/>
        <v>3.8</v>
      </c>
      <c r="N21" s="100" t="s">
        <v>105</v>
      </c>
    </row>
    <row r="22" spans="1:14" s="7" customFormat="1" ht="171.75" customHeight="1">
      <c r="A22" s="102" t="s">
        <v>174</v>
      </c>
      <c r="B22" s="49" t="s">
        <v>226</v>
      </c>
      <c r="C22" s="101"/>
      <c r="D22" s="101"/>
      <c r="E22" s="101"/>
      <c r="F22" s="101"/>
      <c r="G22" s="47">
        <f>15575.03+13.45</f>
        <v>15588.480000000001</v>
      </c>
      <c r="H22" s="47">
        <v>21789.37</v>
      </c>
      <c r="I22" s="101">
        <f>17433.78+5568.55+36.23+215.03+231.6</f>
        <v>23485.189999999995</v>
      </c>
      <c r="J22" s="101">
        <f>17433.78+3029.79+1120+10+15.07+1005.98-439.22</f>
        <v>22175.399999999998</v>
      </c>
      <c r="K22" s="101">
        <v>20463.57</v>
      </c>
      <c r="L22" s="101">
        <v>20463.57</v>
      </c>
      <c r="M22" s="69">
        <f t="shared" si="0"/>
        <v>123965.57999999999</v>
      </c>
      <c r="N22" s="100" t="s">
        <v>161</v>
      </c>
    </row>
    <row r="23" spans="1:14" s="7" customFormat="1" ht="228.75" customHeight="1">
      <c r="A23" s="102" t="s">
        <v>175</v>
      </c>
      <c r="B23" s="48" t="s">
        <v>131</v>
      </c>
      <c r="C23" s="102" t="s">
        <v>57</v>
      </c>
      <c r="D23" s="102" t="s">
        <v>58</v>
      </c>
      <c r="E23" s="50" t="s">
        <v>77</v>
      </c>
      <c r="F23" s="101" t="s">
        <v>37</v>
      </c>
      <c r="G23" s="47">
        <v>7154.3</v>
      </c>
      <c r="H23" s="47">
        <v>7039.9</v>
      </c>
      <c r="I23" s="101">
        <v>0</v>
      </c>
      <c r="J23" s="101">
        <v>0</v>
      </c>
      <c r="K23" s="101">
        <v>0</v>
      </c>
      <c r="L23" s="101">
        <v>0</v>
      </c>
      <c r="M23" s="69">
        <f t="shared" si="0"/>
        <v>14194.2</v>
      </c>
      <c r="N23" s="100" t="s">
        <v>34</v>
      </c>
    </row>
    <row r="24" spans="1:14" s="7" customFormat="1" ht="225" customHeight="1">
      <c r="A24" s="33" t="s">
        <v>233</v>
      </c>
      <c r="B24" s="40" t="s">
        <v>146</v>
      </c>
      <c r="C24" s="33" t="s">
        <v>57</v>
      </c>
      <c r="D24" s="33" t="s">
        <v>58</v>
      </c>
      <c r="E24" s="51" t="s">
        <v>147</v>
      </c>
      <c r="F24" s="52" t="s">
        <v>37</v>
      </c>
      <c r="G24" s="53">
        <v>0</v>
      </c>
      <c r="H24" s="53">
        <v>0</v>
      </c>
      <c r="I24" s="52">
        <v>42.3</v>
      </c>
      <c r="J24" s="52">
        <v>0</v>
      </c>
      <c r="K24" s="52">
        <v>0</v>
      </c>
      <c r="L24" s="52">
        <v>0</v>
      </c>
      <c r="M24" s="83">
        <f t="shared" si="0"/>
        <v>42.3</v>
      </c>
      <c r="N24" s="34" t="s">
        <v>158</v>
      </c>
    </row>
    <row r="25" spans="1:14" s="3" customFormat="1" ht="24.75" customHeight="1">
      <c r="A25" s="124" t="s">
        <v>25</v>
      </c>
      <c r="B25" s="125"/>
      <c r="C25" s="126"/>
      <c r="D25" s="69"/>
      <c r="E25" s="69"/>
      <c r="F25" s="69"/>
      <c r="G25" s="70">
        <f>SUM(G12:G24)</f>
        <v>217051.28</v>
      </c>
      <c r="H25" s="70">
        <f aca="true" t="shared" si="1" ref="H25:M25">SUM(H12:H24)</f>
        <v>254605.16999999995</v>
      </c>
      <c r="I25" s="70">
        <f t="shared" si="1"/>
        <v>293723.9099999999</v>
      </c>
      <c r="J25" s="70">
        <f t="shared" si="1"/>
        <v>299934.31000000006</v>
      </c>
      <c r="K25" s="70">
        <f t="shared" si="1"/>
        <v>296270.26000000007</v>
      </c>
      <c r="L25" s="70">
        <f t="shared" si="1"/>
        <v>296270.26000000007</v>
      </c>
      <c r="M25" s="70">
        <f t="shared" si="1"/>
        <v>1657855.19</v>
      </c>
      <c r="N25" s="69"/>
    </row>
    <row r="26" spans="1:14" ht="25.5" customHeight="1">
      <c r="A26" s="121" t="s">
        <v>30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3"/>
    </row>
    <row r="27" spans="1:14" ht="161.25" customHeight="1">
      <c r="A27" s="102" t="s">
        <v>176</v>
      </c>
      <c r="B27" s="9" t="s">
        <v>132</v>
      </c>
      <c r="C27" s="102" t="s">
        <v>57</v>
      </c>
      <c r="D27" s="14" t="s">
        <v>59</v>
      </c>
      <c r="E27" s="14" t="s">
        <v>96</v>
      </c>
      <c r="F27" s="101" t="s">
        <v>37</v>
      </c>
      <c r="G27" s="41">
        <v>200</v>
      </c>
      <c r="H27" s="41">
        <v>200</v>
      </c>
      <c r="I27" s="41">
        <v>100</v>
      </c>
      <c r="J27" s="41">
        <v>100</v>
      </c>
      <c r="K27" s="41">
        <v>100</v>
      </c>
      <c r="L27" s="41">
        <v>100</v>
      </c>
      <c r="M27" s="74">
        <f>SUM(G27:L27)</f>
        <v>800</v>
      </c>
      <c r="N27" s="9" t="s">
        <v>159</v>
      </c>
    </row>
    <row r="28" spans="1:14" s="8" customFormat="1" ht="354" customHeight="1">
      <c r="A28" s="31" t="s">
        <v>27</v>
      </c>
      <c r="B28" s="16" t="s">
        <v>133</v>
      </c>
      <c r="C28" s="15" t="s">
        <v>57</v>
      </c>
      <c r="D28" s="15" t="s">
        <v>58</v>
      </c>
      <c r="E28" s="22" t="s">
        <v>62</v>
      </c>
      <c r="F28" s="15" t="s">
        <v>37</v>
      </c>
      <c r="G28" s="15">
        <v>1852</v>
      </c>
      <c r="H28" s="15"/>
      <c r="I28" s="15"/>
      <c r="J28" s="15"/>
      <c r="K28" s="15"/>
      <c r="L28" s="15"/>
      <c r="M28" s="74">
        <f>SUM(G28:L28)</f>
        <v>1852</v>
      </c>
      <c r="N28" s="15" t="s">
        <v>11</v>
      </c>
    </row>
    <row r="29" spans="1:14" ht="48.75" customHeight="1">
      <c r="A29" s="42" t="s">
        <v>28</v>
      </c>
      <c r="B29" s="43" t="s">
        <v>16</v>
      </c>
      <c r="C29" s="102" t="s">
        <v>57</v>
      </c>
      <c r="D29" s="14" t="s">
        <v>58</v>
      </c>
      <c r="E29" s="14" t="s">
        <v>53</v>
      </c>
      <c r="F29" s="101" t="s">
        <v>52</v>
      </c>
      <c r="G29" s="9">
        <v>241.8</v>
      </c>
      <c r="H29" s="9"/>
      <c r="I29" s="9"/>
      <c r="J29" s="9"/>
      <c r="K29" s="9"/>
      <c r="L29" s="9"/>
      <c r="M29" s="74">
        <f>SUM(G29:L29)</f>
        <v>241.8</v>
      </c>
      <c r="N29" s="9" t="s">
        <v>17</v>
      </c>
    </row>
    <row r="30" spans="1:14" ht="147.75" customHeight="1">
      <c r="A30" s="42" t="s">
        <v>118</v>
      </c>
      <c r="B30" s="43" t="s">
        <v>87</v>
      </c>
      <c r="C30" s="102" t="s">
        <v>57</v>
      </c>
      <c r="D30" s="14" t="s">
        <v>58</v>
      </c>
      <c r="E30" s="14" t="s">
        <v>53</v>
      </c>
      <c r="F30" s="101" t="s">
        <v>54</v>
      </c>
      <c r="G30" s="9">
        <f>23600+12300</f>
        <v>35900</v>
      </c>
      <c r="H30" s="41"/>
      <c r="I30" s="9"/>
      <c r="J30" s="9"/>
      <c r="K30" s="9"/>
      <c r="L30" s="9"/>
      <c r="M30" s="74">
        <f>SUM(G30:L30)</f>
        <v>35900</v>
      </c>
      <c r="N30" s="43" t="s">
        <v>12</v>
      </c>
    </row>
    <row r="31" spans="1:14" ht="88.5" customHeight="1">
      <c r="A31" s="42" t="s">
        <v>119</v>
      </c>
      <c r="B31" s="43" t="s">
        <v>216</v>
      </c>
      <c r="C31" s="102" t="s">
        <v>57</v>
      </c>
      <c r="D31" s="14" t="s">
        <v>58</v>
      </c>
      <c r="E31" s="14" t="s">
        <v>51</v>
      </c>
      <c r="F31" s="101" t="s">
        <v>55</v>
      </c>
      <c r="G31" s="9">
        <v>30358.76</v>
      </c>
      <c r="H31" s="41"/>
      <c r="I31" s="9"/>
      <c r="J31" s="9"/>
      <c r="K31" s="9"/>
      <c r="L31" s="9"/>
      <c r="M31" s="74">
        <f>SUM(G31:L31)</f>
        <v>30358.76</v>
      </c>
      <c r="N31" s="43"/>
    </row>
    <row r="32" spans="1:14" ht="21" customHeight="1">
      <c r="A32" s="71"/>
      <c r="B32" s="72" t="s">
        <v>26</v>
      </c>
      <c r="C32" s="73"/>
      <c r="D32" s="73"/>
      <c r="E32" s="73"/>
      <c r="F32" s="73"/>
      <c r="G32" s="74">
        <f>SUM(G27:G31)</f>
        <v>68552.56</v>
      </c>
      <c r="H32" s="74">
        <f aca="true" t="shared" si="2" ref="H32:M32">SUM(H27:H31)</f>
        <v>200</v>
      </c>
      <c r="I32" s="74">
        <f t="shared" si="2"/>
        <v>100</v>
      </c>
      <c r="J32" s="74">
        <f t="shared" si="2"/>
        <v>100</v>
      </c>
      <c r="K32" s="74">
        <f t="shared" si="2"/>
        <v>100</v>
      </c>
      <c r="L32" s="74">
        <f t="shared" si="2"/>
        <v>100</v>
      </c>
      <c r="M32" s="74">
        <f t="shared" si="2"/>
        <v>69152.56</v>
      </c>
      <c r="N32" s="73"/>
    </row>
    <row r="33" spans="1:17" ht="36.75" customHeight="1">
      <c r="A33" s="119" t="s">
        <v>29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5"/>
      <c r="P33" s="5"/>
      <c r="Q33" s="5"/>
    </row>
    <row r="34" spans="1:14" ht="195" customHeight="1">
      <c r="A34" s="102" t="s">
        <v>177</v>
      </c>
      <c r="B34" s="9" t="s">
        <v>239</v>
      </c>
      <c r="C34" s="102" t="s">
        <v>57</v>
      </c>
      <c r="D34" s="23" t="s">
        <v>58</v>
      </c>
      <c r="E34" s="23" t="s">
        <v>72</v>
      </c>
      <c r="F34" s="101" t="s">
        <v>37</v>
      </c>
      <c r="G34" s="24">
        <v>186.43</v>
      </c>
      <c r="H34" s="25">
        <f>2950+1761</f>
        <v>4711</v>
      </c>
      <c r="I34" s="54"/>
      <c r="J34" s="54"/>
      <c r="K34" s="54"/>
      <c r="L34" s="54"/>
      <c r="M34" s="84">
        <f>SUM(G34:L34)</f>
        <v>4897.43</v>
      </c>
      <c r="N34" s="9" t="s">
        <v>179</v>
      </c>
    </row>
    <row r="35" spans="1:14" ht="204" customHeight="1">
      <c r="A35" s="102" t="s">
        <v>178</v>
      </c>
      <c r="B35" s="9" t="s">
        <v>240</v>
      </c>
      <c r="C35" s="102" t="s">
        <v>57</v>
      </c>
      <c r="D35" s="23" t="s">
        <v>60</v>
      </c>
      <c r="E35" s="23" t="s">
        <v>238</v>
      </c>
      <c r="F35" s="101" t="s">
        <v>37</v>
      </c>
      <c r="G35" s="24">
        <v>39.47</v>
      </c>
      <c r="H35" s="25">
        <v>48</v>
      </c>
      <c r="I35" s="54"/>
      <c r="J35" s="54"/>
      <c r="K35" s="54"/>
      <c r="L35" s="54"/>
      <c r="M35" s="84">
        <f>SUM(G35:L35)</f>
        <v>87.47</v>
      </c>
      <c r="N35" s="9" t="s">
        <v>179</v>
      </c>
    </row>
    <row r="36" spans="1:14" s="8" customFormat="1" ht="94.5" customHeight="1">
      <c r="A36" s="102" t="s">
        <v>242</v>
      </c>
      <c r="B36" s="9" t="s">
        <v>63</v>
      </c>
      <c r="C36" s="102" t="s">
        <v>57</v>
      </c>
      <c r="D36" s="23" t="s">
        <v>58</v>
      </c>
      <c r="E36" s="23" t="s">
        <v>64</v>
      </c>
      <c r="F36" s="101" t="s">
        <v>37</v>
      </c>
      <c r="G36" s="47">
        <f>3760.87</f>
        <v>3760.87</v>
      </c>
      <c r="H36" s="55"/>
      <c r="I36" s="55"/>
      <c r="J36" s="55"/>
      <c r="K36" s="55"/>
      <c r="L36" s="55"/>
      <c r="M36" s="84">
        <f>SUM(G36:L36)</f>
        <v>3760.87</v>
      </c>
      <c r="N36" s="9" t="s">
        <v>65</v>
      </c>
    </row>
    <row r="37" spans="1:14" ht="21" customHeight="1">
      <c r="A37" s="76"/>
      <c r="B37" s="69" t="s">
        <v>20</v>
      </c>
      <c r="C37" s="69"/>
      <c r="D37" s="73"/>
      <c r="E37" s="77"/>
      <c r="F37" s="77"/>
      <c r="G37" s="70">
        <f aca="true" t="shared" si="3" ref="G37:N37">SUM(G34:G36)</f>
        <v>3986.77</v>
      </c>
      <c r="H37" s="70">
        <f t="shared" si="3"/>
        <v>4759</v>
      </c>
      <c r="I37" s="70">
        <f t="shared" si="3"/>
        <v>0</v>
      </c>
      <c r="J37" s="70">
        <f t="shared" si="3"/>
        <v>0</v>
      </c>
      <c r="K37" s="70">
        <f t="shared" si="3"/>
        <v>0</v>
      </c>
      <c r="L37" s="70">
        <f t="shared" si="3"/>
        <v>0</v>
      </c>
      <c r="M37" s="70">
        <f t="shared" si="3"/>
        <v>8745.77</v>
      </c>
      <c r="N37" s="70">
        <f t="shared" si="3"/>
        <v>0</v>
      </c>
    </row>
    <row r="38" spans="1:15" s="1" customFormat="1" ht="59.25" customHeight="1">
      <c r="A38" s="127" t="s">
        <v>162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9"/>
      <c r="O38" s="4"/>
    </row>
    <row r="39" spans="1:15" s="1" customFormat="1" ht="182.25" customHeight="1">
      <c r="A39" s="19" t="s">
        <v>180</v>
      </c>
      <c r="B39" s="9" t="s">
        <v>1</v>
      </c>
      <c r="C39" s="101" t="s">
        <v>0</v>
      </c>
      <c r="D39" s="9"/>
      <c r="E39" s="9"/>
      <c r="F39" s="9"/>
      <c r="G39" s="55"/>
      <c r="H39" s="55"/>
      <c r="I39" s="55"/>
      <c r="J39" s="55"/>
      <c r="K39" s="55"/>
      <c r="L39" s="55"/>
      <c r="M39" s="77">
        <f>SUM(G39:L39)</f>
        <v>0</v>
      </c>
      <c r="N39" s="9" t="s">
        <v>218</v>
      </c>
      <c r="O39" s="2"/>
    </row>
    <row r="40" spans="1:15" s="1" customFormat="1" ht="80.25" customHeight="1">
      <c r="A40" s="19" t="s">
        <v>181</v>
      </c>
      <c r="B40" s="9" t="s">
        <v>18</v>
      </c>
      <c r="C40" s="101"/>
      <c r="D40" s="9"/>
      <c r="E40" s="9"/>
      <c r="F40" s="9"/>
      <c r="G40" s="55"/>
      <c r="H40" s="55"/>
      <c r="I40" s="55"/>
      <c r="J40" s="55"/>
      <c r="K40" s="55"/>
      <c r="L40" s="55"/>
      <c r="M40" s="77">
        <f>SUM(G40:L40)</f>
        <v>0</v>
      </c>
      <c r="N40" s="9" t="s">
        <v>19</v>
      </c>
      <c r="O40" s="2"/>
    </row>
    <row r="41" spans="1:15" s="1" customFormat="1" ht="25.5" customHeight="1">
      <c r="A41" s="75"/>
      <c r="B41" s="73" t="s">
        <v>14</v>
      </c>
      <c r="C41" s="69"/>
      <c r="D41" s="73"/>
      <c r="E41" s="73"/>
      <c r="F41" s="73"/>
      <c r="G41" s="70">
        <f aca="true" t="shared" si="4" ref="G41:M41">SUM(G39:G40)</f>
        <v>0</v>
      </c>
      <c r="H41" s="70">
        <f t="shared" si="4"/>
        <v>0</v>
      </c>
      <c r="I41" s="70">
        <f t="shared" si="4"/>
        <v>0</v>
      </c>
      <c r="J41" s="70">
        <f t="shared" si="4"/>
        <v>0</v>
      </c>
      <c r="K41" s="70">
        <f t="shared" si="4"/>
        <v>0</v>
      </c>
      <c r="L41" s="70">
        <f t="shared" si="4"/>
        <v>0</v>
      </c>
      <c r="M41" s="70">
        <f t="shared" si="4"/>
        <v>0</v>
      </c>
      <c r="N41" s="73"/>
      <c r="O41" s="2"/>
    </row>
    <row r="42" spans="1:15" s="1" customFormat="1" ht="36" customHeight="1">
      <c r="A42" s="127" t="s">
        <v>31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9"/>
      <c r="O42" s="2"/>
    </row>
    <row r="43" spans="1:15" s="10" customFormat="1" ht="409.5" customHeight="1">
      <c r="A43" s="26" t="s">
        <v>15</v>
      </c>
      <c r="B43" s="38" t="s">
        <v>250</v>
      </c>
      <c r="C43" s="26" t="s">
        <v>57</v>
      </c>
      <c r="D43" s="26" t="s">
        <v>60</v>
      </c>
      <c r="E43" s="27" t="s">
        <v>126</v>
      </c>
      <c r="F43" s="101" t="s">
        <v>37</v>
      </c>
      <c r="G43" s="28">
        <f>214911.34-42759.19-13728.47+1170.32</f>
        <v>159594</v>
      </c>
      <c r="H43" s="28">
        <v>163171.8</v>
      </c>
      <c r="I43" s="28">
        <v>197273.6</v>
      </c>
      <c r="J43" s="28">
        <f>19450.5+176818.6+811.8+120.5+5032.3+3164.6</f>
        <v>205398.3</v>
      </c>
      <c r="K43" s="28">
        <f>19450.5+176279.6</f>
        <v>195730.1</v>
      </c>
      <c r="L43" s="28">
        <f>19450.5+176279.6</f>
        <v>195730.1</v>
      </c>
      <c r="M43" s="85">
        <f>SUM(G43:L43)</f>
        <v>1116897.9</v>
      </c>
      <c r="N43" s="15" t="s">
        <v>160</v>
      </c>
      <c r="O43" s="8"/>
    </row>
    <row r="44" spans="1:15" s="10" customFormat="1" ht="147" customHeight="1">
      <c r="A44" s="26" t="s">
        <v>182</v>
      </c>
      <c r="B44" s="45" t="s">
        <v>109</v>
      </c>
      <c r="C44" s="26" t="s">
        <v>57</v>
      </c>
      <c r="D44" s="26" t="s">
        <v>60</v>
      </c>
      <c r="E44" s="27" t="s">
        <v>110</v>
      </c>
      <c r="F44" s="101" t="s">
        <v>108</v>
      </c>
      <c r="G44" s="28">
        <v>42759.19</v>
      </c>
      <c r="H44" s="28">
        <v>51016.87</v>
      </c>
      <c r="I44" s="28">
        <v>38527.96</v>
      </c>
      <c r="J44" s="28">
        <f>38768.79-1829.68+4+20.4+906.29+110.47+146.8+903.61+90+22+962.66-1.34+483.47+0.02+867.01+20.1+12.97+17.93+913.56</f>
        <v>42419.06000000001</v>
      </c>
      <c r="K44" s="28">
        <v>38768.79</v>
      </c>
      <c r="L44" s="28">
        <v>38768.79</v>
      </c>
      <c r="M44" s="85">
        <f aca="true" t="shared" si="5" ref="M44:M55">SUM(G44:L44)</f>
        <v>252260.66000000003</v>
      </c>
      <c r="N44" s="15" t="s">
        <v>160</v>
      </c>
      <c r="O44" s="8"/>
    </row>
    <row r="45" spans="1:15" s="10" customFormat="1" ht="54.75" customHeight="1">
      <c r="A45" s="26" t="s">
        <v>183</v>
      </c>
      <c r="B45" s="16" t="s">
        <v>145</v>
      </c>
      <c r="C45" s="26" t="s">
        <v>57</v>
      </c>
      <c r="D45" s="26" t="s">
        <v>60</v>
      </c>
      <c r="E45" s="27" t="s">
        <v>144</v>
      </c>
      <c r="F45" s="101" t="s">
        <v>108</v>
      </c>
      <c r="G45" s="28"/>
      <c r="H45" s="28"/>
      <c r="I45" s="28">
        <v>13.3</v>
      </c>
      <c r="J45" s="28">
        <f>121-20.1-12.97-17.93-70</f>
        <v>0</v>
      </c>
      <c r="K45" s="28">
        <v>121</v>
      </c>
      <c r="L45" s="28">
        <v>121</v>
      </c>
      <c r="M45" s="85">
        <f t="shared" si="5"/>
        <v>255.3</v>
      </c>
      <c r="N45" s="15"/>
      <c r="O45" s="8"/>
    </row>
    <row r="46" spans="1:15" s="10" customFormat="1" ht="150" customHeight="1">
      <c r="A46" s="26" t="s">
        <v>184</v>
      </c>
      <c r="B46" s="39" t="s">
        <v>122</v>
      </c>
      <c r="C46" s="26" t="s">
        <v>57</v>
      </c>
      <c r="D46" s="27" t="s">
        <v>149</v>
      </c>
      <c r="E46" s="27" t="s">
        <v>125</v>
      </c>
      <c r="F46" s="30" t="s">
        <v>108</v>
      </c>
      <c r="G46" s="28">
        <v>13728.47</v>
      </c>
      <c r="H46" s="28">
        <v>10507.35</v>
      </c>
      <c r="I46" s="28">
        <f>4968.72-283.4</f>
        <v>4685.320000000001</v>
      </c>
      <c r="J46" s="28">
        <f>3593.39+2212.8</f>
        <v>5806.1900000000005</v>
      </c>
      <c r="K46" s="28">
        <f>3593.39+2212.8</f>
        <v>5806.1900000000005</v>
      </c>
      <c r="L46" s="28">
        <f>3593.39+2212.8</f>
        <v>5806.1900000000005</v>
      </c>
      <c r="M46" s="85">
        <f t="shared" si="5"/>
        <v>46339.71000000001</v>
      </c>
      <c r="N46" s="15" t="s">
        <v>70</v>
      </c>
      <c r="O46" s="8"/>
    </row>
    <row r="47" spans="1:26" s="12" customFormat="1" ht="263.25" customHeight="1">
      <c r="A47" s="19" t="s">
        <v>185</v>
      </c>
      <c r="B47" s="90" t="s">
        <v>134</v>
      </c>
      <c r="C47" s="26" t="s">
        <v>57</v>
      </c>
      <c r="D47" s="31">
        <v>702</v>
      </c>
      <c r="E47" s="14" t="s">
        <v>78</v>
      </c>
      <c r="F47" s="101" t="s">
        <v>245</v>
      </c>
      <c r="G47" s="63">
        <v>4164.4</v>
      </c>
      <c r="H47" s="63">
        <v>6193.3</v>
      </c>
      <c r="I47" s="63">
        <f>10535.7-2450.3</f>
        <v>8085.400000000001</v>
      </c>
      <c r="J47" s="63">
        <v>9838.2</v>
      </c>
      <c r="K47" s="63">
        <v>10918.6</v>
      </c>
      <c r="L47" s="63">
        <f>10918.6</f>
        <v>10918.6</v>
      </c>
      <c r="M47" s="85">
        <f t="shared" si="5"/>
        <v>50118.5</v>
      </c>
      <c r="N47" s="9" t="s">
        <v>35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14" s="7" customFormat="1" ht="192" customHeight="1">
      <c r="A48" s="102" t="s">
        <v>186</v>
      </c>
      <c r="B48" s="91" t="s">
        <v>129</v>
      </c>
      <c r="C48" s="26" t="s">
        <v>57</v>
      </c>
      <c r="D48" s="26" t="s">
        <v>60</v>
      </c>
      <c r="E48" s="101" t="s">
        <v>84</v>
      </c>
      <c r="F48" s="101" t="s">
        <v>37</v>
      </c>
      <c r="G48" s="47">
        <v>5557.16</v>
      </c>
      <c r="H48" s="47">
        <v>10466.79</v>
      </c>
      <c r="I48" s="47">
        <f>16500.01-782.54-85.63-313.48</f>
        <v>15318.359999999999</v>
      </c>
      <c r="J48" s="47">
        <f>14507.7-117.18+61.2</f>
        <v>14451.720000000001</v>
      </c>
      <c r="K48" s="47">
        <v>14507.7</v>
      </c>
      <c r="L48" s="47">
        <v>14507.7</v>
      </c>
      <c r="M48" s="92">
        <f t="shared" si="5"/>
        <v>74809.43</v>
      </c>
      <c r="N48" s="100" t="s">
        <v>88</v>
      </c>
    </row>
    <row r="49" spans="1:14" s="7" customFormat="1" ht="213.75" customHeight="1">
      <c r="A49" s="102" t="s">
        <v>187</v>
      </c>
      <c r="B49" s="48" t="s">
        <v>135</v>
      </c>
      <c r="C49" s="26" t="s">
        <v>57</v>
      </c>
      <c r="D49" s="26" t="s">
        <v>60</v>
      </c>
      <c r="E49" s="101" t="s">
        <v>85</v>
      </c>
      <c r="F49" s="101" t="s">
        <v>37</v>
      </c>
      <c r="G49" s="47">
        <v>444.35</v>
      </c>
      <c r="H49" s="47">
        <v>0</v>
      </c>
      <c r="I49" s="47">
        <f>1049.21+154.12</f>
        <v>1203.33</v>
      </c>
      <c r="J49" s="47">
        <f>1829.68-49.48+82.84</f>
        <v>1863.04</v>
      </c>
      <c r="K49" s="47">
        <v>0</v>
      </c>
      <c r="L49" s="47">
        <v>0</v>
      </c>
      <c r="M49" s="85">
        <f t="shared" si="5"/>
        <v>3510.72</v>
      </c>
      <c r="N49" s="100" t="s">
        <v>88</v>
      </c>
    </row>
    <row r="50" spans="1:14" s="3" customFormat="1" ht="128.25" customHeight="1">
      <c r="A50" s="102" t="s">
        <v>188</v>
      </c>
      <c r="B50" s="101" t="s">
        <v>227</v>
      </c>
      <c r="C50" s="101"/>
      <c r="D50" s="101"/>
      <c r="E50" s="101"/>
      <c r="F50" s="101"/>
      <c r="G50" s="101">
        <f>13033.8+2245.02</f>
        <v>15278.82</v>
      </c>
      <c r="H50" s="47">
        <f>16130.76+3718</f>
        <v>19848.760000000002</v>
      </c>
      <c r="I50" s="47">
        <f>15690.69+3847.64+2658.03+1248.99</f>
        <v>23445.350000000002</v>
      </c>
      <c r="J50" s="47">
        <f>15690.69+2218.22+0.1+695.62+1999.42+325+13.33+18.75+562.77</f>
        <v>21523.899999999998</v>
      </c>
      <c r="K50" s="47">
        <f>17908.91+0.1+695.62</f>
        <v>18604.629999999997</v>
      </c>
      <c r="L50" s="47">
        <f>17908.91+0.1+695.62</f>
        <v>18604.629999999997</v>
      </c>
      <c r="M50" s="85">
        <f t="shared" si="5"/>
        <v>117306.09</v>
      </c>
      <c r="N50" s="100"/>
    </row>
    <row r="51" spans="1:14" s="7" customFormat="1" ht="178.5" customHeight="1">
      <c r="A51" s="64" t="s">
        <v>189</v>
      </c>
      <c r="B51" s="13" t="s">
        <v>136</v>
      </c>
      <c r="C51" s="26" t="s">
        <v>57</v>
      </c>
      <c r="D51" s="62" t="s">
        <v>60</v>
      </c>
      <c r="E51" s="14" t="s">
        <v>100</v>
      </c>
      <c r="F51" s="101" t="s">
        <v>99</v>
      </c>
      <c r="G51" s="28">
        <v>0</v>
      </c>
      <c r="H51" s="28">
        <f>326.78-326.78</f>
        <v>0</v>
      </c>
      <c r="I51" s="28">
        <f>13.16+466.2</f>
        <v>479.36</v>
      </c>
      <c r="J51" s="28">
        <v>12.08</v>
      </c>
      <c r="K51" s="28">
        <v>0</v>
      </c>
      <c r="L51" s="28">
        <v>0</v>
      </c>
      <c r="M51" s="85">
        <f t="shared" si="5"/>
        <v>491.44</v>
      </c>
      <c r="N51" s="15" t="s">
        <v>160</v>
      </c>
    </row>
    <row r="52" spans="1:14" s="7" customFormat="1" ht="178.5" customHeight="1">
      <c r="A52" s="64" t="s">
        <v>190</v>
      </c>
      <c r="B52" s="13" t="s">
        <v>137</v>
      </c>
      <c r="C52" s="26" t="s">
        <v>57</v>
      </c>
      <c r="D52" s="62" t="s">
        <v>60</v>
      </c>
      <c r="E52" s="14" t="s">
        <v>98</v>
      </c>
      <c r="F52" s="101" t="s">
        <v>99</v>
      </c>
      <c r="G52" s="28">
        <v>0</v>
      </c>
      <c r="H52" s="28">
        <f>326.78-326.78</f>
        <v>0</v>
      </c>
      <c r="I52" s="28">
        <v>1.32</v>
      </c>
      <c r="J52" s="28">
        <v>1.34</v>
      </c>
      <c r="K52" s="28">
        <v>0</v>
      </c>
      <c r="L52" s="28">
        <v>0</v>
      </c>
      <c r="M52" s="85">
        <f t="shared" si="5"/>
        <v>2.66</v>
      </c>
      <c r="N52" s="15" t="s">
        <v>160</v>
      </c>
    </row>
    <row r="53" spans="1:14" s="7" customFormat="1" ht="241.5" customHeight="1">
      <c r="A53" s="19" t="s">
        <v>191</v>
      </c>
      <c r="B53" s="16" t="s">
        <v>116</v>
      </c>
      <c r="C53" s="102" t="s">
        <v>57</v>
      </c>
      <c r="D53" s="23" t="s">
        <v>73</v>
      </c>
      <c r="E53" s="23" t="s">
        <v>120</v>
      </c>
      <c r="F53" s="101" t="s">
        <v>37</v>
      </c>
      <c r="G53" s="55"/>
      <c r="H53" s="47">
        <f>1388</f>
        <v>1388</v>
      </c>
      <c r="I53" s="55">
        <v>0</v>
      </c>
      <c r="J53" s="55"/>
      <c r="K53" s="55"/>
      <c r="L53" s="55"/>
      <c r="M53" s="85">
        <f t="shared" si="5"/>
        <v>1388</v>
      </c>
      <c r="N53" s="14" t="s">
        <v>95</v>
      </c>
    </row>
    <row r="54" spans="1:14" s="7" customFormat="1" ht="245.25" customHeight="1">
      <c r="A54" s="19" t="s">
        <v>192</v>
      </c>
      <c r="B54" s="38" t="s">
        <v>116</v>
      </c>
      <c r="C54" s="102" t="s">
        <v>57</v>
      </c>
      <c r="D54" s="23" t="s">
        <v>73</v>
      </c>
      <c r="E54" s="23" t="s">
        <v>117</v>
      </c>
      <c r="F54" s="101" t="s">
        <v>37</v>
      </c>
      <c r="G54" s="55"/>
      <c r="H54" s="47">
        <v>13.88</v>
      </c>
      <c r="I54" s="55">
        <v>115.2</v>
      </c>
      <c r="J54" s="55"/>
      <c r="K54" s="55"/>
      <c r="L54" s="55"/>
      <c r="M54" s="85">
        <f t="shared" si="5"/>
        <v>129.08</v>
      </c>
      <c r="N54" s="14"/>
    </row>
    <row r="55" spans="1:14" s="7" customFormat="1" ht="204.75" customHeight="1">
      <c r="A55" s="19" t="s">
        <v>193</v>
      </c>
      <c r="B55" s="44" t="s">
        <v>141</v>
      </c>
      <c r="C55" s="102" t="s">
        <v>57</v>
      </c>
      <c r="D55" s="23" t="s">
        <v>142</v>
      </c>
      <c r="E55" s="23" t="s">
        <v>143</v>
      </c>
      <c r="F55" s="101" t="s">
        <v>37</v>
      </c>
      <c r="G55" s="55"/>
      <c r="H55" s="47"/>
      <c r="I55" s="55">
        <v>4.32</v>
      </c>
      <c r="J55" s="55"/>
      <c r="K55" s="55"/>
      <c r="L55" s="55"/>
      <c r="M55" s="85">
        <f t="shared" si="5"/>
        <v>4.32</v>
      </c>
      <c r="N55" s="14"/>
    </row>
    <row r="56" spans="1:14" ht="18.75" customHeight="1">
      <c r="A56" s="135" t="s">
        <v>21</v>
      </c>
      <c r="B56" s="135"/>
      <c r="C56" s="135"/>
      <c r="D56" s="135"/>
      <c r="E56" s="135"/>
      <c r="F56" s="78"/>
      <c r="G56" s="79">
        <f>SUM(G43:G55)</f>
        <v>241526.39</v>
      </c>
      <c r="H56" s="79">
        <f aca="true" t="shared" si="6" ref="H56:M56">SUM(H43:H55)</f>
        <v>262606.75</v>
      </c>
      <c r="I56" s="79">
        <f t="shared" si="6"/>
        <v>289152.82</v>
      </c>
      <c r="J56" s="79">
        <f t="shared" si="6"/>
        <v>301313.83</v>
      </c>
      <c r="K56" s="79">
        <f t="shared" si="6"/>
        <v>284457.01</v>
      </c>
      <c r="L56" s="79">
        <f t="shared" si="6"/>
        <v>284457.01</v>
      </c>
      <c r="M56" s="79">
        <f t="shared" si="6"/>
        <v>1663513.81</v>
      </c>
      <c r="N56" s="79">
        <f>SUM(N43:N53)</f>
        <v>0</v>
      </c>
    </row>
    <row r="57" spans="1:14" ht="42" customHeight="1">
      <c r="A57" s="132" t="s">
        <v>32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4"/>
    </row>
    <row r="58" spans="1:15" s="10" customFormat="1" ht="166.5" customHeight="1">
      <c r="A58" s="64" t="s">
        <v>33</v>
      </c>
      <c r="B58" s="93" t="s">
        <v>111</v>
      </c>
      <c r="C58" s="26" t="s">
        <v>57</v>
      </c>
      <c r="D58" s="27" t="s">
        <v>221</v>
      </c>
      <c r="E58" s="27" t="s">
        <v>140</v>
      </c>
      <c r="F58" s="101" t="s">
        <v>37</v>
      </c>
      <c r="G58" s="65">
        <f>10602.63+1885.24</f>
        <v>12487.869999999999</v>
      </c>
      <c r="H58" s="65">
        <v>15057.29</v>
      </c>
      <c r="I58" s="65">
        <f>20021.19-159.16+87.9+360+128.9-156.31-0.03+65.65+29.84+27.66-2992.02-884.15+0.03</f>
        <v>16529.5</v>
      </c>
      <c r="J58" s="65">
        <f>17435.88+24.4-190.79-86.72+45.57+100.38+45.63+20.95-5.84+253.91+90.4+20.54+2.35-367.43</f>
        <v>17389.230000000003</v>
      </c>
      <c r="K58" s="65">
        <f>17435.88+24.39</f>
        <v>17460.27</v>
      </c>
      <c r="L58" s="65">
        <f>17435.88+24.39</f>
        <v>17460.27</v>
      </c>
      <c r="M58" s="86">
        <f>SUM(G58:L58)</f>
        <v>96384.43000000001</v>
      </c>
      <c r="N58" s="29" t="s">
        <v>201</v>
      </c>
      <c r="O58" s="8"/>
    </row>
    <row r="59" spans="1:15" s="10" customFormat="1" ht="150" customHeight="1">
      <c r="A59" s="64" t="s">
        <v>194</v>
      </c>
      <c r="B59" s="39" t="s">
        <v>122</v>
      </c>
      <c r="C59" s="64" t="s">
        <v>57</v>
      </c>
      <c r="D59" s="33" t="s">
        <v>225</v>
      </c>
      <c r="E59" s="33" t="s">
        <v>127</v>
      </c>
      <c r="F59" s="101" t="s">
        <v>37</v>
      </c>
      <c r="G59" s="65">
        <v>6716.08</v>
      </c>
      <c r="H59" s="65">
        <v>5153.14</v>
      </c>
      <c r="I59" s="65">
        <f>2992.02+1045.98</f>
        <v>4038</v>
      </c>
      <c r="J59" s="65">
        <f>3566.13+230.9-786.62</f>
        <v>3010.4100000000003</v>
      </c>
      <c r="K59" s="65">
        <f>3566.13+230.9-786.62</f>
        <v>3010.4100000000003</v>
      </c>
      <c r="L59" s="65">
        <f>3566.13+230.9-786.62</f>
        <v>3010.4100000000003</v>
      </c>
      <c r="M59" s="86">
        <f aca="true" t="shared" si="7" ref="M59:M66">SUM(G59:L59)</f>
        <v>24938.45</v>
      </c>
      <c r="N59" s="29" t="s">
        <v>71</v>
      </c>
      <c r="O59" s="8"/>
    </row>
    <row r="60" spans="1:14" s="7" customFormat="1" ht="202.5" customHeight="1">
      <c r="A60" s="64" t="s">
        <v>195</v>
      </c>
      <c r="B60" s="48" t="s">
        <v>129</v>
      </c>
      <c r="C60" s="64" t="s">
        <v>57</v>
      </c>
      <c r="D60" s="33" t="s">
        <v>222</v>
      </c>
      <c r="E60" s="101" t="s">
        <v>79</v>
      </c>
      <c r="F60" s="101" t="s">
        <v>37</v>
      </c>
      <c r="G60" s="47">
        <f>483.64+440.76+241.14</f>
        <v>1165.54</v>
      </c>
      <c r="H60" s="47">
        <v>2707.7</v>
      </c>
      <c r="I60" s="47">
        <f>3330.52-105.46-23.46+156.31+0.03+396.91-44.23+0.01</f>
        <v>3710.63</v>
      </c>
      <c r="J60" s="47">
        <f>3240.6+579.39+28.64+32.55</f>
        <v>3881.18</v>
      </c>
      <c r="K60" s="47">
        <v>3240.6</v>
      </c>
      <c r="L60" s="47">
        <v>3240.6</v>
      </c>
      <c r="M60" s="86">
        <f t="shared" si="7"/>
        <v>17946.25</v>
      </c>
      <c r="N60" s="100" t="s">
        <v>89</v>
      </c>
    </row>
    <row r="61" spans="1:14" s="7" customFormat="1" ht="214.5" customHeight="1">
      <c r="A61" s="64" t="s">
        <v>196</v>
      </c>
      <c r="B61" s="48" t="s">
        <v>135</v>
      </c>
      <c r="C61" s="64" t="s">
        <v>57</v>
      </c>
      <c r="D61" s="33" t="s">
        <v>223</v>
      </c>
      <c r="E61" s="101" t="s">
        <v>86</v>
      </c>
      <c r="F61" s="101" t="s">
        <v>37</v>
      </c>
      <c r="G61" s="47">
        <v>35.46</v>
      </c>
      <c r="H61" s="47">
        <v>0</v>
      </c>
      <c r="I61" s="47">
        <f>198.95+31.47+25.61</f>
        <v>256.03</v>
      </c>
      <c r="J61" s="47">
        <f>277.51+69.37+111.97+35.66+13.48</f>
        <v>507.99</v>
      </c>
      <c r="K61" s="47">
        <v>0</v>
      </c>
      <c r="L61" s="47">
        <v>0</v>
      </c>
      <c r="M61" s="86">
        <f t="shared" si="7"/>
        <v>799.48</v>
      </c>
      <c r="N61" s="100" t="s">
        <v>89</v>
      </c>
    </row>
    <row r="62" spans="1:14" s="8" customFormat="1" ht="211.5" customHeight="1">
      <c r="A62" s="64" t="s">
        <v>197</v>
      </c>
      <c r="B62" s="30" t="s">
        <v>90</v>
      </c>
      <c r="C62" s="64" t="s">
        <v>57</v>
      </c>
      <c r="D62" s="33" t="s">
        <v>224</v>
      </c>
      <c r="E62" s="46">
        <v>224626</v>
      </c>
      <c r="F62" s="101" t="s">
        <v>37</v>
      </c>
      <c r="G62" s="24">
        <v>496.15</v>
      </c>
      <c r="H62" s="24"/>
      <c r="I62" s="24"/>
      <c r="J62" s="24"/>
      <c r="K62" s="24"/>
      <c r="L62" s="24"/>
      <c r="M62" s="86">
        <f t="shared" si="7"/>
        <v>496.15</v>
      </c>
      <c r="N62" s="9" t="s">
        <v>203</v>
      </c>
    </row>
    <row r="63" spans="1:14" s="8" customFormat="1" ht="135" customHeight="1">
      <c r="A63" s="64" t="s">
        <v>198</v>
      </c>
      <c r="B63" s="15" t="s">
        <v>138</v>
      </c>
      <c r="C63" s="64" t="s">
        <v>57</v>
      </c>
      <c r="D63" s="33" t="s">
        <v>224</v>
      </c>
      <c r="E63" s="101" t="s">
        <v>97</v>
      </c>
      <c r="F63" s="101" t="s">
        <v>37</v>
      </c>
      <c r="G63" s="66">
        <v>20.54</v>
      </c>
      <c r="H63" s="66">
        <v>9.82</v>
      </c>
      <c r="I63" s="66">
        <f>42.98-19.93</f>
        <v>23.049999999999997</v>
      </c>
      <c r="J63" s="66">
        <f>17.46+5.84+4.48</f>
        <v>27.78</v>
      </c>
      <c r="K63" s="66">
        <v>17.46</v>
      </c>
      <c r="L63" s="66">
        <v>17.46</v>
      </c>
      <c r="M63" s="86">
        <f t="shared" si="7"/>
        <v>116.11000000000001</v>
      </c>
      <c r="N63" s="15" t="s">
        <v>56</v>
      </c>
    </row>
    <row r="64" spans="1:14" ht="231.75" customHeight="1">
      <c r="A64" s="64" t="s">
        <v>199</v>
      </c>
      <c r="B64" s="45" t="s">
        <v>139</v>
      </c>
      <c r="C64" s="64" t="s">
        <v>57</v>
      </c>
      <c r="D64" s="33" t="s">
        <v>224</v>
      </c>
      <c r="E64" s="46" t="s">
        <v>80</v>
      </c>
      <c r="F64" s="101" t="s">
        <v>37</v>
      </c>
      <c r="G64" s="66">
        <v>1027.66</v>
      </c>
      <c r="H64" s="66">
        <v>1066.2</v>
      </c>
      <c r="I64" s="66">
        <v>1066.2</v>
      </c>
      <c r="J64" s="66">
        <v>1066.2</v>
      </c>
      <c r="K64" s="66">
        <v>1066.2</v>
      </c>
      <c r="L64" s="66">
        <v>1066.2</v>
      </c>
      <c r="M64" s="86">
        <f t="shared" si="7"/>
        <v>6358.66</v>
      </c>
      <c r="N64" s="15" t="s">
        <v>219</v>
      </c>
    </row>
    <row r="65" spans="1:14" s="8" customFormat="1" ht="126" customHeight="1">
      <c r="A65" s="64" t="s">
        <v>200</v>
      </c>
      <c r="B65" s="45" t="s">
        <v>253</v>
      </c>
      <c r="C65" s="64" t="s">
        <v>57</v>
      </c>
      <c r="D65" s="33" t="s">
        <v>224</v>
      </c>
      <c r="E65" s="46" t="s">
        <v>252</v>
      </c>
      <c r="F65" s="101" t="s">
        <v>37</v>
      </c>
      <c r="G65" s="66">
        <v>0</v>
      </c>
      <c r="H65" s="66">
        <v>0</v>
      </c>
      <c r="I65" s="66">
        <v>0</v>
      </c>
      <c r="J65" s="66">
        <v>503.1</v>
      </c>
      <c r="K65" s="66">
        <v>0</v>
      </c>
      <c r="L65" s="66">
        <v>0</v>
      </c>
      <c r="M65" s="86">
        <f>SUM(G65:L65)</f>
        <v>503.1</v>
      </c>
      <c r="N65" s="15" t="s">
        <v>254</v>
      </c>
    </row>
    <row r="66" spans="1:14" ht="78" customHeight="1">
      <c r="A66" s="64" t="s">
        <v>251</v>
      </c>
      <c r="B66" s="15" t="s">
        <v>228</v>
      </c>
      <c r="C66" s="64"/>
      <c r="D66" s="64"/>
      <c r="E66" s="94"/>
      <c r="F66" s="52"/>
      <c r="G66" s="66">
        <v>100.51</v>
      </c>
      <c r="H66" s="66">
        <f>51.33+220</f>
        <v>271.33</v>
      </c>
      <c r="I66" s="66">
        <f>133.6+361.2+97.7</f>
        <v>592.5</v>
      </c>
      <c r="J66" s="66">
        <f>1505.59+1142.57+300-435.28+150</f>
        <v>2662.88</v>
      </c>
      <c r="K66" s="66">
        <v>1505.59</v>
      </c>
      <c r="L66" s="66">
        <v>1505.59</v>
      </c>
      <c r="M66" s="86">
        <f t="shared" si="7"/>
        <v>6638.400000000001</v>
      </c>
      <c r="N66" s="15"/>
    </row>
    <row r="67" spans="1:14" ht="15">
      <c r="A67" s="95"/>
      <c r="B67" s="80" t="s">
        <v>39</v>
      </c>
      <c r="C67" s="96"/>
      <c r="D67" s="96"/>
      <c r="E67" s="96"/>
      <c r="F67" s="96"/>
      <c r="G67" s="97">
        <f>SUM(G58:G66)</f>
        <v>22049.809999999998</v>
      </c>
      <c r="H67" s="97">
        <f aca="true" t="shared" si="8" ref="H67:M67">SUM(H58:H66)</f>
        <v>24265.480000000003</v>
      </c>
      <c r="I67" s="97">
        <f t="shared" si="8"/>
        <v>26215.91</v>
      </c>
      <c r="J67" s="97">
        <f t="shared" si="8"/>
        <v>29048.770000000004</v>
      </c>
      <c r="K67" s="97">
        <f t="shared" si="8"/>
        <v>26300.53</v>
      </c>
      <c r="L67" s="97">
        <f t="shared" si="8"/>
        <v>26300.53</v>
      </c>
      <c r="M67" s="97">
        <f t="shared" si="8"/>
        <v>154181.03</v>
      </c>
      <c r="N67" s="80"/>
    </row>
    <row r="68" spans="1:15" ht="45" customHeight="1">
      <c r="A68" s="136" t="s">
        <v>45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8"/>
      <c r="O68" s="6"/>
    </row>
    <row r="69" spans="1:14" s="8" customFormat="1" ht="150.75" customHeight="1">
      <c r="A69" s="64" t="s">
        <v>202</v>
      </c>
      <c r="B69" s="9" t="s">
        <v>235</v>
      </c>
      <c r="C69" s="26" t="s">
        <v>57</v>
      </c>
      <c r="D69" s="26" t="s">
        <v>60</v>
      </c>
      <c r="E69" s="14" t="s">
        <v>236</v>
      </c>
      <c r="F69" s="101" t="s">
        <v>37</v>
      </c>
      <c r="G69" s="31">
        <v>3954.97</v>
      </c>
      <c r="H69" s="47">
        <v>1200</v>
      </c>
      <c r="I69" s="47">
        <v>8820.63</v>
      </c>
      <c r="J69" s="47">
        <f>1200+422.96</f>
        <v>1622.96</v>
      </c>
      <c r="K69" s="47">
        <v>1200</v>
      </c>
      <c r="L69" s="47">
        <v>1200</v>
      </c>
      <c r="M69" s="87">
        <f>SUM(G69:L69)</f>
        <v>17998.559999999998</v>
      </c>
      <c r="N69" s="30" t="s">
        <v>204</v>
      </c>
    </row>
    <row r="70" spans="1:14" s="8" customFormat="1" ht="150" customHeight="1">
      <c r="A70" s="64" t="s">
        <v>205</v>
      </c>
      <c r="B70" s="9" t="s">
        <v>241</v>
      </c>
      <c r="C70" s="26" t="s">
        <v>57</v>
      </c>
      <c r="D70" s="26" t="s">
        <v>60</v>
      </c>
      <c r="E70" s="14" t="s">
        <v>81</v>
      </c>
      <c r="F70" s="101" t="s">
        <v>37</v>
      </c>
      <c r="G70" s="31">
        <f>991.74-6.53-985.21</f>
        <v>0</v>
      </c>
      <c r="H70" s="47">
        <f>2204.83+2505.17</f>
        <v>4710</v>
      </c>
      <c r="I70" s="47">
        <v>2300</v>
      </c>
      <c r="J70" s="47">
        <v>1700</v>
      </c>
      <c r="K70" s="47">
        <v>1700</v>
      </c>
      <c r="L70" s="47">
        <v>1700</v>
      </c>
      <c r="M70" s="87">
        <f aca="true" t="shared" si="9" ref="M70:M77">SUM(G70:L70)</f>
        <v>12110</v>
      </c>
      <c r="N70" s="30" t="s">
        <v>93</v>
      </c>
    </row>
    <row r="71" spans="1:14" s="8" customFormat="1" ht="116.25" customHeight="1">
      <c r="A71" s="64" t="s">
        <v>243</v>
      </c>
      <c r="B71" s="9" t="s">
        <v>66</v>
      </c>
      <c r="C71" s="26" t="s">
        <v>57</v>
      </c>
      <c r="D71" s="26" t="s">
        <v>60</v>
      </c>
      <c r="E71" s="14" t="s">
        <v>237</v>
      </c>
      <c r="F71" s="101" t="s">
        <v>37</v>
      </c>
      <c r="G71" s="31">
        <v>220.67</v>
      </c>
      <c r="H71" s="41">
        <v>0</v>
      </c>
      <c r="I71" s="41">
        <v>0</v>
      </c>
      <c r="J71" s="41"/>
      <c r="K71" s="41"/>
      <c r="L71" s="41"/>
      <c r="M71" s="87">
        <f t="shared" si="9"/>
        <v>220.67</v>
      </c>
      <c r="N71" s="30" t="s">
        <v>40</v>
      </c>
    </row>
    <row r="72" spans="1:14" s="8" customFormat="1" ht="246" customHeight="1">
      <c r="A72" s="64" t="s">
        <v>206</v>
      </c>
      <c r="B72" s="16" t="s">
        <v>151</v>
      </c>
      <c r="C72" s="26" t="s">
        <v>57</v>
      </c>
      <c r="D72" s="26" t="s">
        <v>60</v>
      </c>
      <c r="E72" s="14" t="s">
        <v>150</v>
      </c>
      <c r="F72" s="101" t="s">
        <v>37</v>
      </c>
      <c r="G72" s="31"/>
      <c r="H72" s="41">
        <v>0</v>
      </c>
      <c r="I72" s="41">
        <v>110.12</v>
      </c>
      <c r="J72" s="41">
        <v>90.3</v>
      </c>
      <c r="K72" s="41">
        <v>90.3</v>
      </c>
      <c r="L72" s="41">
        <v>90.3</v>
      </c>
      <c r="M72" s="87">
        <f t="shared" si="9"/>
        <v>381.02000000000004</v>
      </c>
      <c r="N72" s="30" t="s">
        <v>106</v>
      </c>
    </row>
    <row r="73" spans="1:14" s="8" customFormat="1" ht="150.75" customHeight="1">
      <c r="A73" s="64" t="s">
        <v>207</v>
      </c>
      <c r="B73" s="9" t="s">
        <v>121</v>
      </c>
      <c r="C73" s="26" t="s">
        <v>57</v>
      </c>
      <c r="D73" s="26" t="s">
        <v>60</v>
      </c>
      <c r="E73" s="102" t="s">
        <v>92</v>
      </c>
      <c r="F73" s="101" t="s">
        <v>37</v>
      </c>
      <c r="G73" s="31"/>
      <c r="H73" s="47">
        <v>0</v>
      </c>
      <c r="I73" s="47">
        <v>15.67</v>
      </c>
      <c r="J73" s="47">
        <v>17.3</v>
      </c>
      <c r="K73" s="47"/>
      <c r="L73" s="47"/>
      <c r="M73" s="87">
        <f t="shared" si="9"/>
        <v>32.97</v>
      </c>
      <c r="N73" s="30" t="s">
        <v>94</v>
      </c>
    </row>
    <row r="74" spans="1:14" s="8" customFormat="1" ht="69.75" customHeight="1">
      <c r="A74" s="64"/>
      <c r="B74" s="9" t="s">
        <v>246</v>
      </c>
      <c r="C74" s="26"/>
      <c r="D74" s="26"/>
      <c r="E74" s="102"/>
      <c r="F74" s="101"/>
      <c r="G74" s="31"/>
      <c r="H74" s="47"/>
      <c r="I74" s="47"/>
      <c r="J74" s="89" t="s">
        <v>248</v>
      </c>
      <c r="K74" s="47"/>
      <c r="L74" s="47"/>
      <c r="M74" s="87"/>
      <c r="N74" s="30"/>
    </row>
    <row r="75" spans="1:14" s="8" customFormat="1" ht="148.5" customHeight="1">
      <c r="A75" s="64" t="s">
        <v>244</v>
      </c>
      <c r="B75" s="9" t="s">
        <v>112</v>
      </c>
      <c r="C75" s="26" t="s">
        <v>57</v>
      </c>
      <c r="D75" s="26" t="s">
        <v>60</v>
      </c>
      <c r="E75" s="14" t="s">
        <v>234</v>
      </c>
      <c r="F75" s="101" t="s">
        <v>37</v>
      </c>
      <c r="G75" s="31">
        <v>461.49</v>
      </c>
      <c r="H75" s="47">
        <v>0</v>
      </c>
      <c r="I75" s="47">
        <v>1620.7</v>
      </c>
      <c r="J75" s="47">
        <v>1729.6</v>
      </c>
      <c r="K75" s="47"/>
      <c r="L75" s="47"/>
      <c r="M75" s="87">
        <f t="shared" si="9"/>
        <v>3811.79</v>
      </c>
      <c r="N75" s="9" t="s">
        <v>101</v>
      </c>
    </row>
    <row r="76" spans="1:14" s="8" customFormat="1" ht="61.5" customHeight="1">
      <c r="A76" s="64"/>
      <c r="B76" s="9" t="s">
        <v>246</v>
      </c>
      <c r="C76" s="26" t="s">
        <v>57</v>
      </c>
      <c r="D76" s="26" t="s">
        <v>60</v>
      </c>
      <c r="E76" s="14" t="s">
        <v>234</v>
      </c>
      <c r="F76" s="101" t="s">
        <v>37</v>
      </c>
      <c r="G76" s="31"/>
      <c r="H76" s="47"/>
      <c r="I76" s="47"/>
      <c r="J76" s="89" t="s">
        <v>247</v>
      </c>
      <c r="K76" s="47"/>
      <c r="L76" s="47"/>
      <c r="M76" s="87"/>
      <c r="N76" s="9"/>
    </row>
    <row r="77" spans="1:14" s="8" customFormat="1" ht="228.75" customHeight="1">
      <c r="A77" s="64" t="s">
        <v>208</v>
      </c>
      <c r="B77" s="9" t="s">
        <v>113</v>
      </c>
      <c r="C77" s="26" t="s">
        <v>57</v>
      </c>
      <c r="D77" s="26" t="s">
        <v>60</v>
      </c>
      <c r="E77" s="14" t="s">
        <v>102</v>
      </c>
      <c r="F77" s="101" t="s">
        <v>37</v>
      </c>
      <c r="G77" s="31"/>
      <c r="H77" s="47">
        <v>0</v>
      </c>
      <c r="I77" s="47">
        <v>81.04</v>
      </c>
      <c r="J77" s="47"/>
      <c r="K77" s="47"/>
      <c r="L77" s="47"/>
      <c r="M77" s="87">
        <f t="shared" si="9"/>
        <v>81.04</v>
      </c>
      <c r="N77" s="9" t="s">
        <v>101</v>
      </c>
    </row>
    <row r="78" spans="1:14" ht="15">
      <c r="A78" s="80"/>
      <c r="B78" s="80" t="s">
        <v>61</v>
      </c>
      <c r="C78" s="80"/>
      <c r="D78" s="80"/>
      <c r="E78" s="80"/>
      <c r="F78" s="80"/>
      <c r="G78" s="81">
        <f>SUM(G69:G77)</f>
        <v>4637.129999999999</v>
      </c>
      <c r="H78" s="81">
        <f aca="true" t="shared" si="10" ref="H78:M78">SUM(H69:H77)</f>
        <v>5910</v>
      </c>
      <c r="I78" s="81">
        <f t="shared" si="10"/>
        <v>12948.160000000002</v>
      </c>
      <c r="J78" s="81">
        <f t="shared" si="10"/>
        <v>5160.16</v>
      </c>
      <c r="K78" s="81">
        <f t="shared" si="10"/>
        <v>2990.3</v>
      </c>
      <c r="L78" s="81">
        <f t="shared" si="10"/>
        <v>2990.3</v>
      </c>
      <c r="M78" s="81">
        <f t="shared" si="10"/>
        <v>34636.049999999996</v>
      </c>
      <c r="N78" s="81">
        <f>SUM(N69:N77)</f>
        <v>0</v>
      </c>
    </row>
    <row r="79" spans="1:15" ht="60.75" customHeight="1">
      <c r="A79" s="136" t="s">
        <v>46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8"/>
      <c r="O79" s="6"/>
    </row>
    <row r="80" spans="1:14" ht="115.5" customHeight="1">
      <c r="A80" s="67" t="s">
        <v>209</v>
      </c>
      <c r="B80" s="32" t="s">
        <v>41</v>
      </c>
      <c r="C80" s="26" t="s">
        <v>57</v>
      </c>
      <c r="D80" s="26" t="s">
        <v>60</v>
      </c>
      <c r="E80" s="62" t="s">
        <v>50</v>
      </c>
      <c r="F80" s="101" t="s">
        <v>37</v>
      </c>
      <c r="G80" s="63">
        <v>0</v>
      </c>
      <c r="H80" s="41">
        <v>0</v>
      </c>
      <c r="I80" s="41">
        <v>0</v>
      </c>
      <c r="J80" s="41"/>
      <c r="K80" s="41"/>
      <c r="L80" s="41"/>
      <c r="M80" s="74">
        <f>SUM(G80:L80)</f>
        <v>0</v>
      </c>
      <c r="N80" s="32" t="s">
        <v>210</v>
      </c>
    </row>
    <row r="81" spans="1:14" ht="114.75" customHeight="1">
      <c r="A81" s="67" t="s">
        <v>213</v>
      </c>
      <c r="B81" s="30" t="s">
        <v>2</v>
      </c>
      <c r="C81" s="26" t="s">
        <v>57</v>
      </c>
      <c r="D81" s="26" t="s">
        <v>60</v>
      </c>
      <c r="E81" s="62" t="s">
        <v>50</v>
      </c>
      <c r="F81" s="31"/>
      <c r="G81" s="31">
        <v>0</v>
      </c>
      <c r="H81" s="47"/>
      <c r="I81" s="47"/>
      <c r="J81" s="47"/>
      <c r="K81" s="47"/>
      <c r="L81" s="47"/>
      <c r="M81" s="74">
        <f>SUM(G81:L81)</f>
        <v>0</v>
      </c>
      <c r="N81" s="30" t="s">
        <v>211</v>
      </c>
    </row>
    <row r="82" spans="1:14" s="8" customFormat="1" ht="98.25" customHeight="1">
      <c r="A82" s="65" t="s">
        <v>212</v>
      </c>
      <c r="B82" s="15" t="s">
        <v>68</v>
      </c>
      <c r="C82" s="26" t="s">
        <v>57</v>
      </c>
      <c r="D82" s="26" t="s">
        <v>60</v>
      </c>
      <c r="E82" s="62" t="s">
        <v>67</v>
      </c>
      <c r="F82" s="101" t="s">
        <v>37</v>
      </c>
      <c r="G82" s="28"/>
      <c r="H82" s="53">
        <v>0</v>
      </c>
      <c r="I82" s="53">
        <v>0</v>
      </c>
      <c r="J82" s="53"/>
      <c r="K82" s="53"/>
      <c r="L82" s="53"/>
      <c r="M82" s="74">
        <f>SUM(G82:L82)</f>
        <v>0</v>
      </c>
      <c r="N82" s="29" t="s">
        <v>217</v>
      </c>
    </row>
    <row r="83" spans="1:14" ht="15">
      <c r="A83" s="80"/>
      <c r="B83" s="80" t="s">
        <v>48</v>
      </c>
      <c r="C83" s="80"/>
      <c r="D83" s="80"/>
      <c r="E83" s="80"/>
      <c r="F83" s="80"/>
      <c r="G83" s="81">
        <f>SUM(G80:G82)</f>
        <v>0</v>
      </c>
      <c r="H83" s="81">
        <f aca="true" t="shared" si="11" ref="H83:M83">SUM(H80:H82)</f>
        <v>0</v>
      </c>
      <c r="I83" s="81">
        <f t="shared" si="11"/>
        <v>0</v>
      </c>
      <c r="J83" s="81">
        <f t="shared" si="11"/>
        <v>0</v>
      </c>
      <c r="K83" s="81">
        <f t="shared" si="11"/>
        <v>0</v>
      </c>
      <c r="L83" s="81">
        <f t="shared" si="11"/>
        <v>0</v>
      </c>
      <c r="M83" s="81">
        <f t="shared" si="11"/>
        <v>0</v>
      </c>
      <c r="N83" s="80"/>
    </row>
    <row r="84" spans="1:15" ht="33.75" customHeight="1">
      <c r="A84" s="136" t="s">
        <v>220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8"/>
      <c r="O84" s="6"/>
    </row>
    <row r="85" spans="1:14" ht="104.25" customHeight="1">
      <c r="A85" s="68" t="s">
        <v>214</v>
      </c>
      <c r="B85" s="32" t="s">
        <v>42</v>
      </c>
      <c r="C85" s="64" t="s">
        <v>57</v>
      </c>
      <c r="D85" s="64" t="s">
        <v>60</v>
      </c>
      <c r="E85" s="19" t="s">
        <v>50</v>
      </c>
      <c r="F85" s="101" t="s">
        <v>37</v>
      </c>
      <c r="G85" s="25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70">
        <f>SUM(G85:L85)</f>
        <v>0</v>
      </c>
      <c r="N85" s="32" t="s">
        <v>43</v>
      </c>
    </row>
    <row r="86" spans="1:14" ht="56.25" customHeight="1">
      <c r="A86" s="24" t="s">
        <v>215</v>
      </c>
      <c r="B86" s="30" t="s">
        <v>44</v>
      </c>
      <c r="C86" s="24"/>
      <c r="D86" s="24"/>
      <c r="E86" s="24"/>
      <c r="F86" s="24" t="s">
        <v>0</v>
      </c>
      <c r="G86" s="24"/>
      <c r="H86" s="25"/>
      <c r="I86" s="25"/>
      <c r="J86" s="25"/>
      <c r="K86" s="25"/>
      <c r="L86" s="25"/>
      <c r="M86" s="70">
        <f>SUM(G86:L86)</f>
        <v>0</v>
      </c>
      <c r="N86" s="30" t="s">
        <v>91</v>
      </c>
    </row>
    <row r="87" spans="1:14" ht="15">
      <c r="A87" s="78"/>
      <c r="B87" s="88" t="s">
        <v>47</v>
      </c>
      <c r="C87" s="78"/>
      <c r="D87" s="78"/>
      <c r="E87" s="78"/>
      <c r="F87" s="78"/>
      <c r="G87" s="79">
        <f>SUM(G85:G86)</f>
        <v>0</v>
      </c>
      <c r="H87" s="79">
        <f aca="true" t="shared" si="12" ref="H87:M87">SUM(H85:H86)</f>
        <v>0</v>
      </c>
      <c r="I87" s="79">
        <f t="shared" si="12"/>
        <v>0</v>
      </c>
      <c r="J87" s="79">
        <f t="shared" si="12"/>
        <v>0</v>
      </c>
      <c r="K87" s="79">
        <f t="shared" si="12"/>
        <v>0</v>
      </c>
      <c r="L87" s="79">
        <f t="shared" si="12"/>
        <v>0</v>
      </c>
      <c r="M87" s="79">
        <f t="shared" si="12"/>
        <v>0</v>
      </c>
      <c r="N87" s="78"/>
    </row>
    <row r="88" spans="1:14" ht="19.5" customHeight="1">
      <c r="A88" s="98"/>
      <c r="B88" s="78" t="s">
        <v>22</v>
      </c>
      <c r="C88" s="78"/>
      <c r="D88" s="78"/>
      <c r="E88" s="78"/>
      <c r="F88" s="78"/>
      <c r="G88" s="79">
        <f>G25+G32+G37+G41+G56+G67+G78+G83+G87</f>
        <v>557803.9400000001</v>
      </c>
      <c r="H88" s="79">
        <f aca="true" t="shared" si="13" ref="H88:M88">H25+H32+H37+H41+H56+H67+H78+H83+H87</f>
        <v>552346.3999999999</v>
      </c>
      <c r="I88" s="79">
        <f t="shared" si="13"/>
        <v>622140.8</v>
      </c>
      <c r="J88" s="79">
        <f t="shared" si="13"/>
        <v>635557.0700000002</v>
      </c>
      <c r="K88" s="79">
        <f t="shared" si="13"/>
        <v>610118.1000000001</v>
      </c>
      <c r="L88" s="79">
        <f t="shared" si="13"/>
        <v>610118.1000000001</v>
      </c>
      <c r="M88" s="79">
        <f t="shared" si="13"/>
        <v>3588084.4099999997</v>
      </c>
      <c r="N88" s="78"/>
    </row>
    <row r="89" spans="1:14" ht="31.5" customHeight="1">
      <c r="A89" s="130" t="s">
        <v>255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</row>
    <row r="90" spans="1:14" ht="15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15" hidden="1">
      <c r="A91" s="35"/>
      <c r="B91" s="131" t="s">
        <v>23</v>
      </c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</row>
    <row r="92" spans="1:14" ht="15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ht="15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</sheetData>
  <sheetProtection/>
  <mergeCells count="27">
    <mergeCell ref="A38:N38"/>
    <mergeCell ref="A89:N89"/>
    <mergeCell ref="A42:N42"/>
    <mergeCell ref="B91:N91"/>
    <mergeCell ref="A57:N57"/>
    <mergeCell ref="A56:E56"/>
    <mergeCell ref="A68:N68"/>
    <mergeCell ref="A84:N84"/>
    <mergeCell ref="A79:N79"/>
    <mergeCell ref="A11:N11"/>
    <mergeCell ref="G8:L8"/>
    <mergeCell ref="A5:N5"/>
    <mergeCell ref="A6:N6"/>
    <mergeCell ref="A7:N7"/>
    <mergeCell ref="A33:N33"/>
    <mergeCell ref="A26:N26"/>
    <mergeCell ref="M8:M9"/>
    <mergeCell ref="A25:C25"/>
    <mergeCell ref="E2:N2"/>
    <mergeCell ref="A1:N1"/>
    <mergeCell ref="A4:N4"/>
    <mergeCell ref="A10:N10"/>
    <mergeCell ref="B8:B9"/>
    <mergeCell ref="N8:N9"/>
    <mergeCell ref="A8:A9"/>
    <mergeCell ref="C8:F8"/>
    <mergeCell ref="M3:N3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mig</cp:lastModifiedBy>
  <cp:lastPrinted>2018-01-10T06:35:52Z</cp:lastPrinted>
  <dcterms:created xsi:type="dcterms:W3CDTF">2010-09-05T13:57:35Z</dcterms:created>
  <dcterms:modified xsi:type="dcterms:W3CDTF">2018-01-16T04:26:33Z</dcterms:modified>
  <cp:category/>
  <cp:version/>
  <cp:contentType/>
  <cp:contentStatus/>
</cp:coreProperties>
</file>