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<sst xmlns="http://schemas.openxmlformats.org/spreadsheetml/2006/main" count="404" uniqueCount="253">
  <si>
    <t xml:space="preserve"> </t>
  </si>
  <si>
    <t>Экспертиза огнезащитной обработки деревянных конструкций</t>
  </si>
  <si>
    <t>Выведения средств обнаружения пожаров на пульт подразделения пожарной охраны</t>
  </si>
  <si>
    <t>Цели, задачи, мероприятия</t>
  </si>
  <si>
    <t>ГРБС</t>
  </si>
  <si>
    <t>Код бюджетной классификации</t>
  </si>
  <si>
    <t>Расходы (тыс. рублей), годы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</si>
  <si>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</si>
  <si>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</si>
  <si>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</si>
  <si>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</si>
  <si>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открытие 4 дополнительных групп, создание дополнительных100 мест: 2014 г. - 25 мест, 2015 год - 75 мест.</t>
  </si>
  <si>
    <t>2015 год открытие 1 дополнительной группы, создание 6 дополнительных мест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</si>
  <si>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</si>
  <si>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</si>
  <si>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</si>
  <si>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Приобретение мебели и оборудования для новых групп</t>
  </si>
  <si>
    <t>Созданы условия для 100 детей в возрасте от 3 до 7 лет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</si>
  <si>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</si>
  <si>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</si>
  <si>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</si>
  <si>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</si>
  <si>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</si>
  <si>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</si>
  <si>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</si>
  <si>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</si>
  <si>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2.2.</t>
  </si>
  <si>
    <t xml:space="preserve">2.3. 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</si>
  <si>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</si>
  <si>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2    Создание дополнительных мест для получения детьми дошкольного возраста дошкольного образования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</si>
  <si>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</si>
  <si>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</si>
  <si>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</si>
  <si>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>336 воспитателей, младших воспитателей получают ежемесячные выплаты</t>
  </si>
  <si>
    <t>1260.  детей из малообеспеченных семей получают бесплатное школьное питание</t>
  </si>
  <si>
    <t xml:space="preserve">   </t>
  </si>
  <si>
    <t>611   612    621    622</t>
  </si>
  <si>
    <t xml:space="preserve">14 детей  получают льготу </t>
  </si>
  <si>
    <t>Итого по задаче 6</t>
  </si>
  <si>
    <t>Текущий ремонт сетей водоснабжения и канализации, установка поддонов для уборочного инвентаря выполнено в 1-м учреждении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</si>
  <si>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</si>
  <si>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</si>
  <si>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</si>
  <si>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</si>
  <si>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</si>
  <si>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обороны,чрезвычайным ситуациям и ликвидации последствий стихийных бедствий (МЧС) по Красноярскому краю (Отдел надзорной деятельности по г.Шарыпово,Шарыповскому и Ужурским районам)</t>
  </si>
  <si>
    <t>Итого по задаче 9</t>
  </si>
  <si>
    <t>Итого по задаче 8</t>
  </si>
  <si>
    <t>01.1.8502</t>
  </si>
  <si>
    <t>01.1.8509</t>
  </si>
  <si>
    <t>01.1.7557</t>
  </si>
  <si>
    <t xml:space="preserve">611   612   </t>
  </si>
  <si>
    <t>01.1.7421</t>
  </si>
  <si>
    <t>621    622</t>
  </si>
  <si>
    <t>621      622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</si>
  <si>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</si>
  <si>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</si>
  <si>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</si>
  <si>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</si>
  <si>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</si>
  <si>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</si>
  <si>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01.01.8739  01.1.5059</t>
  </si>
  <si>
    <t>Капитальный ремонт мягкой кровли</t>
  </si>
  <si>
    <t>01.1.7746      01.1.8759</t>
  </si>
  <si>
    <t>В 1-м учреждении дошкольного образования произведен капитальный ремонт мягкой кровли</t>
  </si>
  <si>
    <t>Текущий ремонт сетей водоснабжения и канализации.</t>
  </si>
  <si>
    <t>01.1.8518</t>
  </si>
  <si>
    <t>Разработка ПСД на устройство второго эвакуационного выхода</t>
  </si>
  <si>
    <t>313    321     244</t>
  </si>
  <si>
    <t>Ежегодно 4656 человека получают услуги общего образования</t>
  </si>
  <si>
    <t>Ежегодно 6711 человека получают услуги дополнительного  образования</t>
  </si>
  <si>
    <t>01.1.7746</t>
  </si>
  <si>
    <t xml:space="preserve">0701,  0702,    </t>
  </si>
  <si>
    <t>01.1.7554  01.1.0075540</t>
  </si>
  <si>
    <t>01.1.1021    01.1.0010210</t>
  </si>
  <si>
    <t>01.1.7556    01.1.0075560</t>
  </si>
  <si>
    <t>01.1.7558       01.10075580</t>
  </si>
  <si>
    <t xml:space="preserve">01.1.0075660   01.1.7566    </t>
  </si>
  <si>
    <t>01.1.1021        01.1.0010210</t>
  </si>
  <si>
    <t>01.01.8734       01.1.0087340</t>
  </si>
  <si>
    <t>01.1.8518     01.1.0085180</t>
  </si>
  <si>
    <t xml:space="preserve">    01.1.0010220</t>
  </si>
  <si>
    <t>01.1.1021      01.1.0010210</t>
  </si>
  <si>
    <t xml:space="preserve">     01.1.0010220</t>
  </si>
  <si>
    <t xml:space="preserve">        01.1.0010220</t>
  </si>
  <si>
    <t>Капитальный ремонт зданий под дошкольное образовательное учреждение, благоустройство прилегающей территории, оборудование детских площадок, приобретение мебели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</si>
  <si>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</si>
  <si>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</si>
  <si>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>Предоставление субсидии на модернизацию материально-технической базы учреждений дополнительного образования детей, реализующих образовательные программы дополнительного образования детей технической направленности.</t>
  </si>
  <si>
    <t>Восстановлено  наружное освещения в 18-ти учреждениях</t>
  </si>
  <si>
    <t>01.100S5630</t>
  </si>
  <si>
    <t>в 5-х учреждениях произведен текущий ремонт вытяжной вентиляции в помещении мастерских</t>
  </si>
  <si>
    <t>Произведено приобретение и установка системы видеонаблюдения в 5-ти учреждениях</t>
  </si>
  <si>
    <t>В 4-х учреждениях созданы условия для инклюзивного образования детей-инвалидов</t>
  </si>
  <si>
    <t>01.1.0085030    01.1.8503</t>
  </si>
  <si>
    <t>01.1.1031        01.1.0010310</t>
  </si>
  <si>
    <t xml:space="preserve">  01.100S3980</t>
  </si>
  <si>
    <t xml:space="preserve">611   612    621    622   </t>
  </si>
  <si>
    <t xml:space="preserve">  01.10073980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</si>
  <si>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</si>
  <si>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01.100S5631</t>
  </si>
  <si>
    <t>01.1.0088150</t>
  </si>
  <si>
    <t>Оплата исполнительных листов по выплате компенсации части родительской платы за содержание ребенка в муниципальных образовательных учреждениях Красноярского края</t>
  </si>
  <si>
    <t>Произведено исполнение одного исполнительного документа</t>
  </si>
  <si>
    <t>Текущий ремонт кровли произведен в 4-х учреждении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</si>
  <si>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</si>
  <si>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</si>
  <si>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</si>
  <si>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"Развитие дошкольного, общего и дополнительного образования детей"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</si>
  <si>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</si>
  <si>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01.1.8504    01.1.0085040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</si>
  <si>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</si>
  <si>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</si>
  <si>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Софинансирование расходов, направленных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"Развитие дошкольного, общего и дополнительного образования детей"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</si>
  <si>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</si>
  <si>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</si>
  <si>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</si>
  <si>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 xml:space="preserve">           01.100S099А</t>
  </si>
  <si>
    <t xml:space="preserve">2.4. </t>
  </si>
  <si>
    <t xml:space="preserve">2.5. </t>
  </si>
  <si>
    <t xml:space="preserve">01.1.8750,     01.1.5027             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</si>
  <si>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</si>
  <si>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</si>
  <si>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 xml:space="preserve">01.1.8501  01.1.0085010     </t>
  </si>
  <si>
    <t xml:space="preserve">01.1.7511     01.10075110   </t>
  </si>
  <si>
    <t xml:space="preserve">     01.1.7511        01.10075110   </t>
  </si>
  <si>
    <t xml:space="preserve"> 01.1.7564       01.1.0074090    01.1.0075640    </t>
  </si>
  <si>
    <t xml:space="preserve">     01.1.7511          01.10075110  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</si>
  <si>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 за счет средств бюджета города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</si>
  <si>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</si>
  <si>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</si>
  <si>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</si>
  <si>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</si>
  <si>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Софинансирование расходов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учреждения, реконструкции и капитального ремонта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</si>
  <si>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</si>
  <si>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</si>
  <si>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</si>
  <si>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</si>
  <si>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</si>
  <si>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</si>
  <si>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01.1.8505    01.1.0085050       01.1.0087370</t>
  </si>
  <si>
    <t>Софинансирование расходов предусмотренные на приобретение электронных стендов с изображениями схем безопасного движения к общеобразовательным организациям в рамках подпрограммы "Развитие дошкольного, общего и дополнительного образования"</t>
  </si>
  <si>
    <t xml:space="preserve">0702,    </t>
  </si>
  <si>
    <t xml:space="preserve">           01.100S3981</t>
  </si>
  <si>
    <t xml:space="preserve">  01.1.0087990</t>
  </si>
  <si>
    <t>Санитарная обработка инфекционных вспышек (гельмиты)</t>
  </si>
  <si>
    <t>Софинансирование расходов предусмотренные на 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 в рамках подпрограммы "Развитие дошкольного, общего и дополнительного образования"</t>
  </si>
  <si>
    <t>01.100S3982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</si>
  <si>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</si>
  <si>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0702    0707</t>
  </si>
  <si>
    <t xml:space="preserve">   01.100S7460      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</si>
  <si>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</si>
  <si>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Итого за период  2014-2019 годы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</si>
  <si>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</si>
  <si>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</si>
  <si>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</si>
  <si>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</si>
  <si>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</si>
  <si>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детей посещают дошкольные образовательные учреждения</t>
  </si>
  <si>
    <t>Стабильное посещение 360 детей групп предшкольного образования: 2014 г. - 112 детей, 2015 год - 112 детей, 2016 год - 34 ребенка, 2017 год - 34 ребенка, 2018 год - 34 ребенка, 2019 год - 34 ребенка</t>
  </si>
  <si>
    <t>Услуги общего образования получают: 2014 год -4785 человек, 2015 год - 4819 человек, 2016 год - 5003 человек, 2017 год - 5044 человек, 2018 год - 5152 человек, 2019 год - 5250 человек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</si>
  <si>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</si>
  <si>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</si>
  <si>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</si>
  <si>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</si>
  <si>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</si>
  <si>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</si>
  <si>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1.5.</t>
  </si>
  <si>
    <t>1.6.</t>
  </si>
  <si>
    <t>194  человека ежемесячно получают оплату труда до минимального размера оплаты труда</t>
  </si>
  <si>
    <t>1.7.</t>
  </si>
  <si>
    <t>1.8.</t>
  </si>
  <si>
    <t>1.9.</t>
  </si>
  <si>
    <t>1.10.</t>
  </si>
  <si>
    <t>1.11.</t>
  </si>
  <si>
    <t>1.12.</t>
  </si>
  <si>
    <t>2.1.</t>
  </si>
  <si>
    <t>3.1.</t>
  </si>
  <si>
    <t>3.2.</t>
  </si>
  <si>
    <t>произведено благоустройство территории в 1-м учреждении</t>
  </si>
  <si>
    <t>4.1.</t>
  </si>
  <si>
    <t>4.2.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</si>
  <si>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</si>
  <si>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</si>
  <si>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</si>
  <si>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</si>
  <si>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</si>
  <si>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</si>
  <si>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</si>
  <si>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</si>
  <si>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</si>
  <si>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</si>
  <si>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</si>
  <si>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</si>
  <si>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6.2.</t>
  </si>
  <si>
    <t>6.3.</t>
  </si>
  <si>
    <t>6.4.</t>
  </si>
  <si>
    <t>6.5.</t>
  </si>
  <si>
    <t>6.6.</t>
  </si>
  <si>
    <t>6.7.</t>
  </si>
  <si>
    <t>6.8.</t>
  </si>
  <si>
    <t>Ежегодно 6711 человек получают услуги дополнительного  образования</t>
  </si>
  <si>
    <t>7.1.</t>
  </si>
  <si>
    <t>Проведено 53 мероприятия  с численностью участников 12000 человек ежегодно</t>
  </si>
  <si>
    <t>в 2-х  учреждениях произведен текущий ремонт водоснабжения и канализации в помещении   мастерских</t>
  </si>
  <si>
    <t>7.2.</t>
  </si>
  <si>
    <t>7.4.</t>
  </si>
  <si>
    <t>7.5.</t>
  </si>
  <si>
    <t>7.7.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</si>
  <si>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</si>
  <si>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</si>
  <si>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В 9-ти учреждениях проведены  выведения средств обнаружения пожаров на пульт подразделения пожарной охраны</t>
  </si>
  <si>
    <t>8.3.</t>
  </si>
  <si>
    <t>8.2.</t>
  </si>
  <si>
    <t>9.1.</t>
  </si>
  <si>
    <t>9.2.</t>
  </si>
  <si>
    <t>Строительство и реконструкция зданий дошкольных образовательных учреждений</t>
  </si>
  <si>
    <t xml:space="preserve">Для 1-го   учреждения разработана ПСД на устройство второго эвакуационного выхода 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</si>
  <si>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</si>
  <si>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Ежемесячно 62 педагога получают стимулирующие выплаты, в соответствии с Указами Президента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</si>
  <si>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</si>
  <si>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</si>
  <si>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</si>
  <si>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0702     0707     0709   0703</t>
  </si>
  <si>
    <t>0702   0703</t>
  </si>
  <si>
    <t>0702    0703    0707</t>
  </si>
  <si>
    <t>Родительская плата за содержание ребенка в муниципальных дошкольных образовательных учреждениях, благотворительные пожертвования,спонсорская помощь, платные услуги</t>
  </si>
  <si>
    <t>Плата родителей за питание детей в школьной столовой,благотворительные пожетрвования, спонсорская помощь, платные услуги</t>
  </si>
  <si>
    <t>Благотворительные пожертвования, спонсорская помощь,платные услуги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</si>
  <si>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</si>
  <si>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</si>
  <si>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 xml:space="preserve">01.1.8519  01.1.0085190     </t>
  </si>
  <si>
    <t xml:space="preserve"> 01.1.7588  01.1.0074080    01.1.0075880     </t>
  </si>
  <si>
    <t>1.13.</t>
  </si>
  <si>
    <t xml:space="preserve">  01.18745  01.10075630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</si>
  <si>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</si>
  <si>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 xml:space="preserve">  01.1.8509             01.10085090</t>
  </si>
  <si>
    <t xml:space="preserve">01.1.8747   </t>
  </si>
  <si>
    <t>01.1.8759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</si>
  <si>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</si>
  <si>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</si>
  <si>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</si>
  <si>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3.3.</t>
  </si>
  <si>
    <t>7.6.</t>
  </si>
  <si>
    <t>611   612    621    622   321</t>
  </si>
  <si>
    <t>В том числе капитальный ремонт оконных блоков                МАОУ СОШ №3                          МБОУ СОШ №6</t>
  </si>
  <si>
    <t xml:space="preserve">                        814915      914685</t>
  </si>
  <si>
    <t xml:space="preserve">17296       0   </t>
  </si>
  <si>
    <t xml:space="preserve">    "Приложение № 2</t>
  </si>
  <si>
    <t>образования "город Шарыпово Красноярского края"</t>
  </si>
  <si>
    <t xml:space="preserve">к подпрограмме "Развитие дошкольного, общего и дополнительного образования" </t>
  </si>
  <si>
    <t>7.3.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</si>
  <si>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Шарыпово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15.06.2017 № 113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</si>
</sst>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0.0"/>
    <numFmt numFmtId="170" formatCode="[$-FC19]d\ mmmm\ yyyy\ &quot;г.&quot;"/>
    <numFmt numFmtId="171" formatCode="#,##0.0"/>
    <numFmt numFmtId="172" formatCode="#,##0.000"/>
    <numFmt numFmtId="173" formatCode="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wrapText="1"/>
    </xf>
    <xf numFmtId="17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14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14" fontId="1" fillId="0" borderId="16" xfId="0" applyNumberFormat="1" applyFont="1" applyFill="1" applyBorder="1" applyAlignment="1">
      <alignment vertical="top" wrapText="1"/>
    </xf>
    <xf numFmtId="16" fontId="1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vertical="top"/>
    </xf>
    <xf numFmtId="0" fontId="1" fillId="0" borderId="16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2" fontId="1" fillId="0" borderId="16" xfId="0" applyNumberFormat="1" applyFont="1" applyFill="1" applyBorder="1" applyAlignment="1">
      <alignment vertical="top"/>
    </xf>
    <xf numFmtId="2" fontId="2" fillId="0" borderId="16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vertical="top"/>
    </xf>
    <xf numFmtId="0" fontId="1" fillId="0" borderId="15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vertical="top"/>
    </xf>
    <xf numFmtId="0" fontId="1" fillId="0" borderId="2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 horizontal="center" vertical="top"/>
    </xf>
    <xf numFmtId="2" fontId="2" fillId="0" borderId="16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/>
    </xf>
    <xf numFmtId="14" fontId="1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wrapText="1"/>
    </xf>
    <xf numFmtId="2" fontId="2" fillId="0" borderId="16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/>
    </xf>
    <xf numFmtId="49" fontId="1" fillId="34" borderId="11" xfId="0" applyNumberFormat="1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2" fontId="1" fillId="35" borderId="11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49" fontId="1" fillId="34" borderId="16" xfId="0" applyNumberFormat="1" applyFont="1" applyFill="1" applyBorder="1" applyAlignment="1">
      <alignment vertical="top"/>
    </xf>
    <xf numFmtId="2" fontId="2" fillId="35" borderId="16" xfId="0" applyNumberFormat="1" applyFont="1" applyFill="1" applyBorder="1" applyAlignment="1">
      <alignment vertical="top"/>
    </xf>
    <xf numFmtId="2" fontId="1" fillId="35" borderId="16" xfId="0" applyNumberFormat="1" applyFont="1" applyFill="1" applyBorder="1" applyAlignment="1">
      <alignment vertical="top"/>
    </xf>
    <xf numFmtId="2" fontId="1" fillId="35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/>
    </xf>
    <xf numFmtId="2" fontId="2" fillId="35" borderId="10" xfId="0" applyNumberFormat="1" applyFont="1" applyFill="1" applyBorder="1" applyAlignment="1">
      <alignment vertical="top"/>
    </xf>
    <xf numFmtId="2" fontId="1" fillId="35" borderId="10" xfId="0" applyNumberFormat="1" applyFont="1" applyFill="1" applyBorder="1" applyAlignment="1">
      <alignment vertical="top"/>
    </xf>
    <xf numFmtId="2" fontId="2" fillId="35" borderId="10" xfId="0" applyNumberFormat="1" applyFont="1" applyFill="1" applyBorder="1" applyAlignment="1">
      <alignment/>
    </xf>
    <xf numFmtId="49" fontId="1" fillId="34" borderId="16" xfId="0" applyNumberFormat="1" applyFont="1" applyFill="1" applyBorder="1" applyAlignment="1">
      <alignment horizontal="center" vertical="top"/>
    </xf>
    <xf numFmtId="2" fontId="2" fillId="35" borderId="16" xfId="0" applyNumberFormat="1" applyFont="1" applyFill="1" applyBorder="1" applyAlignment="1">
      <alignment horizontal="center" vertical="top"/>
    </xf>
    <xf numFmtId="2" fontId="1" fillId="35" borderId="16" xfId="0" applyNumberFormat="1" applyFont="1" applyFill="1" applyBorder="1" applyAlignment="1">
      <alignment horizontal="center" vertical="top"/>
    </xf>
    <xf numFmtId="2" fontId="2" fillId="35" borderId="16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vertical="center"/>
    </xf>
    <xf numFmtId="49" fontId="1" fillId="33" borderId="18" xfId="0" applyNumberFormat="1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top" wrapText="1"/>
    </xf>
    <xf numFmtId="0" fontId="2" fillId="34" borderId="2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tabSelected="1" zoomScale="75" zoomScaleNormal="75" zoomScalePageLayoutView="0" workbookViewId="0" topLeftCell="A3">
      <selection activeCell="R8" sqref="R8"/>
    </sheetView>
  </sheetViews>
  <sheetFormatPr defaultColWidth="9.00390625" defaultRowHeight="12.75"/>
  <cols>
    <col min="1" max="1" width="6.00390625" style="14" customWidth="1"/>
    <col min="2" max="2" width="30.75390625" style="15" customWidth="1"/>
    <col min="3" max="3" width="4.75390625" style="15" customWidth="1"/>
    <col min="4" max="4" width="5.75390625" style="15" customWidth="1"/>
    <col min="5" max="5" width="14.625" style="15" customWidth="1"/>
    <col min="6" max="6" width="6.125" style="15" customWidth="1"/>
    <col min="7" max="7" width="10.75390625" style="15" customWidth="1"/>
    <col min="8" max="8" width="11.125" style="15" customWidth="1"/>
    <col min="9" max="12" width="10.875" style="15" customWidth="1"/>
    <col min="13" max="13" width="12.875" style="15" customWidth="1"/>
    <col min="14" max="14" width="17.625" style="15" customWidth="1"/>
    <col min="15" max="15" width="11.00390625" style="0" bestFit="1" customWidth="1"/>
  </cols>
  <sheetData>
    <row r="1" spans="1:14" ht="21.75" customHeight="1" hidden="1">
      <c r="A1" s="148" t="s">
        <v>114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21.75" customHeight="1" hidden="1">
      <c r="A2" s="12"/>
      <c r="B2" s="13"/>
      <c r="C2" s="13"/>
      <c r="D2" s="13"/>
      <c r="E2" s="147" t="s">
        <v>115</v>
      </c>
      <c r="F2" s="147"/>
      <c r="G2" s="147"/>
      <c r="H2" s="147"/>
      <c r="I2" s="147"/>
      <c r="J2" s="147"/>
      <c r="K2" s="147"/>
      <c r="L2" s="147"/>
      <c r="M2" s="147"/>
      <c r="N2" s="147"/>
    </row>
    <row r="3" spans="1:14" ht="66.75" customHeight="1">
      <c r="A3" s="158" t="s">
        <v>252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24.7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50" t="s">
        <v>248</v>
      </c>
      <c r="N4" s="150"/>
    </row>
    <row r="5" spans="1:14" ht="18" customHeight="1">
      <c r="A5" s="150" t="s">
        <v>250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8" customHeight="1">
      <c r="A6" s="150" t="s">
        <v>154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8.75" customHeight="1">
      <c r="A7" s="150" t="s">
        <v>249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61.5" customHeight="1">
      <c r="A8" s="135" t="s">
        <v>153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7"/>
      <c r="N8" s="137"/>
    </row>
    <row r="9" spans="1:14" ht="40.5" customHeight="1">
      <c r="A9" s="155" t="s">
        <v>0</v>
      </c>
      <c r="B9" s="143" t="s">
        <v>3</v>
      </c>
      <c r="C9" s="143" t="s">
        <v>5</v>
      </c>
      <c r="D9" s="143"/>
      <c r="E9" s="143"/>
      <c r="F9" s="143"/>
      <c r="G9" s="143" t="s">
        <v>6</v>
      </c>
      <c r="H9" s="143"/>
      <c r="I9" s="143"/>
      <c r="J9" s="143"/>
      <c r="K9" s="143"/>
      <c r="L9" s="143"/>
      <c r="M9" s="143" t="s">
        <v>152</v>
      </c>
      <c r="N9" s="143" t="s">
        <v>10</v>
      </c>
    </row>
    <row r="10" spans="1:15" s="3" customFormat="1" ht="44.25" customHeight="1">
      <c r="A10" s="155"/>
      <c r="B10" s="143"/>
      <c r="C10" s="21" t="s">
        <v>4</v>
      </c>
      <c r="D10" s="21" t="s">
        <v>7</v>
      </c>
      <c r="E10" s="21" t="s">
        <v>8</v>
      </c>
      <c r="F10" s="21" t="s">
        <v>9</v>
      </c>
      <c r="G10" s="21">
        <v>2014</v>
      </c>
      <c r="H10" s="21">
        <v>2015</v>
      </c>
      <c r="I10" s="21">
        <v>2016</v>
      </c>
      <c r="J10" s="21">
        <v>2017</v>
      </c>
      <c r="K10" s="21">
        <v>2018</v>
      </c>
      <c r="L10" s="21">
        <v>2019</v>
      </c>
      <c r="M10" s="143"/>
      <c r="N10" s="143"/>
      <c r="O10"/>
    </row>
    <row r="11" spans="1:15" ht="36.75" customHeight="1">
      <c r="A11" s="152" t="s">
        <v>13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4"/>
      <c r="O11" s="3"/>
    </row>
    <row r="12" spans="1:15" s="7" customFormat="1" ht="30.75" customHeight="1">
      <c r="A12" s="163" t="s">
        <v>23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5"/>
      <c r="O12"/>
    </row>
    <row r="13" spans="1:14" s="7" customFormat="1" ht="376.5" customHeight="1">
      <c r="A13" s="20" t="s">
        <v>163</v>
      </c>
      <c r="B13" s="22" t="s">
        <v>105</v>
      </c>
      <c r="C13" s="20" t="s">
        <v>56</v>
      </c>
      <c r="D13" s="20" t="s">
        <v>57</v>
      </c>
      <c r="E13" s="23" t="s">
        <v>232</v>
      </c>
      <c r="F13" s="21" t="s">
        <v>36</v>
      </c>
      <c r="G13" s="21">
        <f>183993.01-60622.48-22400.45-18809.14+847.92+669.24</f>
        <v>83678.1</v>
      </c>
      <c r="H13" s="21">
        <v>107764.2</v>
      </c>
      <c r="I13" s="24">
        <v>184093.5</v>
      </c>
      <c r="J13" s="24">
        <f>60461+129817.9+25556.3-25556.3</f>
        <v>190278.9</v>
      </c>
      <c r="K13" s="24">
        <f>215835.2-25556.3</f>
        <v>190278.90000000002</v>
      </c>
      <c r="L13" s="24">
        <f>215835.2-25556.3</f>
        <v>190278.90000000002</v>
      </c>
      <c r="M13" s="25">
        <f>SUM(G13:L13)</f>
        <v>946372.5</v>
      </c>
      <c r="N13" s="21" t="s">
        <v>155</v>
      </c>
    </row>
    <row r="14" spans="1:14" s="7" customFormat="1" ht="169.5" customHeight="1">
      <c r="A14" s="102" t="s">
        <v>164</v>
      </c>
      <c r="B14" s="27" t="s">
        <v>106</v>
      </c>
      <c r="C14" s="26" t="s">
        <v>56</v>
      </c>
      <c r="D14" s="26" t="s">
        <v>57</v>
      </c>
      <c r="E14" s="28" t="s">
        <v>123</v>
      </c>
      <c r="F14" s="29" t="s">
        <v>36</v>
      </c>
      <c r="G14" s="29">
        <f>60622.48</f>
        <v>60622.48</v>
      </c>
      <c r="H14" s="29">
        <v>62394.41</v>
      </c>
      <c r="I14" s="30">
        <v>35354.43</v>
      </c>
      <c r="J14" s="104">
        <f>35501.1-1604.25+12+645.17+778.16+30+844.13</f>
        <v>36206.31</v>
      </c>
      <c r="K14" s="30">
        <v>35501.1</v>
      </c>
      <c r="L14" s="30">
        <v>35501.1</v>
      </c>
      <c r="M14" s="103">
        <f aca="true" t="shared" si="0" ref="M14:M25">SUM(G14:L14)</f>
        <v>265579.83</v>
      </c>
      <c r="N14" s="32" t="s">
        <v>156</v>
      </c>
    </row>
    <row r="15" spans="1:14" s="7" customFormat="1" ht="166.5" customHeight="1">
      <c r="A15" s="26" t="s">
        <v>165</v>
      </c>
      <c r="B15" s="27" t="s">
        <v>229</v>
      </c>
      <c r="C15" s="26" t="s">
        <v>56</v>
      </c>
      <c r="D15" s="26" t="s">
        <v>57</v>
      </c>
      <c r="E15" s="28" t="s">
        <v>231</v>
      </c>
      <c r="F15" s="29" t="s">
        <v>36</v>
      </c>
      <c r="G15" s="29">
        <v>18809.14</v>
      </c>
      <c r="H15" s="29">
        <v>24056.3</v>
      </c>
      <c r="I15" s="30">
        <v>25556.3</v>
      </c>
      <c r="J15" s="30">
        <v>25556.3</v>
      </c>
      <c r="K15" s="30">
        <v>25556.3</v>
      </c>
      <c r="L15" s="30">
        <v>25556.3</v>
      </c>
      <c r="M15" s="31">
        <f t="shared" si="0"/>
        <v>145090.64</v>
      </c>
      <c r="N15" s="32" t="s">
        <v>230</v>
      </c>
    </row>
    <row r="16" spans="1:14" s="7" customFormat="1" ht="133.5" customHeight="1">
      <c r="A16" s="20" t="s">
        <v>166</v>
      </c>
      <c r="B16" s="33" t="s">
        <v>122</v>
      </c>
      <c r="C16" s="20" t="s">
        <v>56</v>
      </c>
      <c r="D16" s="20" t="s">
        <v>57</v>
      </c>
      <c r="E16" s="23" t="s">
        <v>124</v>
      </c>
      <c r="F16" s="21" t="s">
        <v>36</v>
      </c>
      <c r="G16" s="21">
        <v>22400.46</v>
      </c>
      <c r="H16" s="21">
        <v>15951.21</v>
      </c>
      <c r="I16" s="24">
        <f>4426.7-722.18</f>
        <v>3704.52</v>
      </c>
      <c r="J16" s="24">
        <f>3212.68+1556.3</f>
        <v>4768.98</v>
      </c>
      <c r="K16" s="24">
        <v>4768.98</v>
      </c>
      <c r="L16" s="24">
        <v>4768.98</v>
      </c>
      <c r="M16" s="25">
        <f t="shared" si="0"/>
        <v>56363.12999999999</v>
      </c>
      <c r="N16" s="34" t="s">
        <v>156</v>
      </c>
    </row>
    <row r="17" spans="1:15" s="3" customFormat="1" ht="388.5" customHeight="1">
      <c r="A17" s="20" t="s">
        <v>167</v>
      </c>
      <c r="B17" s="35" t="s">
        <v>128</v>
      </c>
      <c r="C17" s="20" t="s">
        <v>56</v>
      </c>
      <c r="D17" s="20" t="s">
        <v>57</v>
      </c>
      <c r="E17" s="20" t="s">
        <v>48</v>
      </c>
      <c r="F17" s="21" t="s">
        <v>36</v>
      </c>
      <c r="G17" s="24">
        <v>8.21</v>
      </c>
      <c r="H17" s="24">
        <f>6.3+0.77</f>
        <v>7.07</v>
      </c>
      <c r="I17" s="24">
        <v>0</v>
      </c>
      <c r="J17" s="24">
        <v>0</v>
      </c>
      <c r="K17" s="24">
        <v>0</v>
      </c>
      <c r="L17" s="24">
        <v>0</v>
      </c>
      <c r="M17" s="25">
        <f t="shared" si="0"/>
        <v>15.280000000000001</v>
      </c>
      <c r="N17" s="34" t="s">
        <v>33</v>
      </c>
      <c r="O17" s="7"/>
    </row>
    <row r="18" spans="1:15" s="7" customFormat="1" ht="296.25" customHeight="1">
      <c r="A18" s="20" t="s">
        <v>168</v>
      </c>
      <c r="B18" s="35" t="s">
        <v>148</v>
      </c>
      <c r="C18" s="20" t="s">
        <v>56</v>
      </c>
      <c r="D18" s="21">
        <v>1003</v>
      </c>
      <c r="E18" s="20" t="s">
        <v>73</v>
      </c>
      <c r="F18" s="21" t="s">
        <v>36</v>
      </c>
      <c r="G18" s="24">
        <v>576</v>
      </c>
      <c r="H18" s="24">
        <v>522</v>
      </c>
      <c r="I18" s="24">
        <v>627.8</v>
      </c>
      <c r="J18" s="24">
        <v>601.7</v>
      </c>
      <c r="K18" s="24">
        <v>601.7</v>
      </c>
      <c r="L18" s="24">
        <v>601.7</v>
      </c>
      <c r="M18" s="25">
        <f t="shared" si="0"/>
        <v>3530.8999999999996</v>
      </c>
      <c r="N18" s="34" t="s">
        <v>37</v>
      </c>
      <c r="O18" s="3"/>
    </row>
    <row r="19" spans="1:15" s="7" customFormat="1" ht="215.25" customHeight="1">
      <c r="A19" s="20" t="s">
        <v>170</v>
      </c>
      <c r="B19" s="35" t="s">
        <v>129</v>
      </c>
      <c r="C19" s="20" t="s">
        <v>56</v>
      </c>
      <c r="D19" s="20" t="s">
        <v>57</v>
      </c>
      <c r="E19" s="21" t="s">
        <v>74</v>
      </c>
      <c r="F19" s="21" t="s">
        <v>36</v>
      </c>
      <c r="G19" s="24">
        <v>3611.84</v>
      </c>
      <c r="H19" s="24">
        <v>10032.91</v>
      </c>
      <c r="I19" s="24">
        <f>14862.21-1295.42-396.91-667.41</f>
        <v>12502.47</v>
      </c>
      <c r="J19" s="24">
        <v>12644.81</v>
      </c>
      <c r="K19" s="24">
        <v>12644.81</v>
      </c>
      <c r="L19" s="24">
        <v>12644.81</v>
      </c>
      <c r="M19" s="25">
        <f t="shared" si="0"/>
        <v>64081.649999999994</v>
      </c>
      <c r="N19" s="34" t="s">
        <v>169</v>
      </c>
      <c r="O19" s="7" t="s">
        <v>35</v>
      </c>
    </row>
    <row r="20" spans="1:14" s="7" customFormat="1" ht="215.25" customHeight="1">
      <c r="A20" s="20" t="s">
        <v>171</v>
      </c>
      <c r="B20" s="35" t="s">
        <v>135</v>
      </c>
      <c r="C20" s="20" t="s">
        <v>56</v>
      </c>
      <c r="D20" s="20" t="s">
        <v>57</v>
      </c>
      <c r="E20" s="21" t="s">
        <v>81</v>
      </c>
      <c r="F20" s="21" t="s">
        <v>36</v>
      </c>
      <c r="G20" s="24">
        <v>214.27</v>
      </c>
      <c r="H20" s="24">
        <v>0</v>
      </c>
      <c r="I20" s="24">
        <f>920.13-31.47+153.94</f>
        <v>1042.6</v>
      </c>
      <c r="J20" s="24">
        <v>1604.25</v>
      </c>
      <c r="K20" s="24">
        <v>0</v>
      </c>
      <c r="L20" s="24">
        <v>0</v>
      </c>
      <c r="M20" s="25">
        <f t="shared" si="0"/>
        <v>2861.12</v>
      </c>
      <c r="N20" s="34" t="s">
        <v>169</v>
      </c>
    </row>
    <row r="21" spans="1:14" s="7" customFormat="1" ht="210.75" customHeight="1">
      <c r="A21" s="20" t="s">
        <v>172</v>
      </c>
      <c r="B21" s="35" t="s">
        <v>130</v>
      </c>
      <c r="C21" s="20" t="s">
        <v>56</v>
      </c>
      <c r="D21" s="21">
        <v>1004</v>
      </c>
      <c r="E21" s="20" t="s">
        <v>75</v>
      </c>
      <c r="F21" s="21" t="s">
        <v>68</v>
      </c>
      <c r="G21" s="24">
        <v>4388</v>
      </c>
      <c r="H21" s="24">
        <v>5047.8</v>
      </c>
      <c r="I21" s="24">
        <v>7311</v>
      </c>
      <c r="J21" s="24">
        <v>6454.9</v>
      </c>
      <c r="K21" s="24">
        <v>6454.9</v>
      </c>
      <c r="L21" s="24">
        <v>6454.9</v>
      </c>
      <c r="M21" s="25">
        <f t="shared" si="0"/>
        <v>36111.5</v>
      </c>
      <c r="N21" s="34" t="s">
        <v>157</v>
      </c>
    </row>
    <row r="22" spans="1:14" s="7" customFormat="1" ht="120.75" customHeight="1">
      <c r="A22" s="20" t="s">
        <v>173</v>
      </c>
      <c r="B22" s="36" t="s">
        <v>102</v>
      </c>
      <c r="C22" s="20" t="s">
        <v>56</v>
      </c>
      <c r="D22" s="21">
        <v>1004</v>
      </c>
      <c r="E22" s="20" t="s">
        <v>101</v>
      </c>
      <c r="F22" s="21">
        <v>321</v>
      </c>
      <c r="G22" s="24"/>
      <c r="H22" s="24"/>
      <c r="I22" s="24">
        <v>3.8</v>
      </c>
      <c r="J22" s="24"/>
      <c r="K22" s="24"/>
      <c r="L22" s="24"/>
      <c r="M22" s="25">
        <f t="shared" si="0"/>
        <v>3.8</v>
      </c>
      <c r="N22" s="34" t="s">
        <v>103</v>
      </c>
    </row>
    <row r="23" spans="1:14" s="7" customFormat="1" ht="228.75" customHeight="1">
      <c r="A23" s="105" t="s">
        <v>174</v>
      </c>
      <c r="B23" s="36" t="s">
        <v>226</v>
      </c>
      <c r="C23" s="21"/>
      <c r="D23" s="21"/>
      <c r="E23" s="21"/>
      <c r="F23" s="21"/>
      <c r="G23" s="24">
        <f>15575.03+13.45</f>
        <v>15588.480000000001</v>
      </c>
      <c r="H23" s="24">
        <v>21789.37</v>
      </c>
      <c r="I23" s="21">
        <f>17433.78+5568.55+36.23+215.03+231.6</f>
        <v>23485.189999999995</v>
      </c>
      <c r="J23" s="107">
        <f>17433.78+3029.79+1120+10</f>
        <v>21593.57</v>
      </c>
      <c r="K23" s="21">
        <v>20463.57</v>
      </c>
      <c r="L23" s="21">
        <v>20463.57</v>
      </c>
      <c r="M23" s="106">
        <f t="shared" si="0"/>
        <v>123383.75</v>
      </c>
      <c r="N23" s="34" t="s">
        <v>161</v>
      </c>
    </row>
    <row r="24" spans="1:14" s="7" customFormat="1" ht="182.25" customHeight="1">
      <c r="A24" s="20" t="s">
        <v>175</v>
      </c>
      <c r="B24" s="35" t="s">
        <v>131</v>
      </c>
      <c r="C24" s="20" t="s">
        <v>56</v>
      </c>
      <c r="D24" s="20" t="s">
        <v>57</v>
      </c>
      <c r="E24" s="37" t="s">
        <v>76</v>
      </c>
      <c r="F24" s="21" t="s">
        <v>36</v>
      </c>
      <c r="G24" s="24">
        <v>7154.3</v>
      </c>
      <c r="H24" s="24">
        <v>7039.9</v>
      </c>
      <c r="I24" s="21">
        <v>0</v>
      </c>
      <c r="J24" s="21">
        <v>0</v>
      </c>
      <c r="K24" s="21">
        <v>0</v>
      </c>
      <c r="L24" s="21">
        <v>0</v>
      </c>
      <c r="M24" s="25">
        <f t="shared" si="0"/>
        <v>14194.2</v>
      </c>
      <c r="N24" s="34" t="s">
        <v>33</v>
      </c>
    </row>
    <row r="25" spans="1:15" s="3" customFormat="1" ht="183.75" customHeight="1">
      <c r="A25" s="38" t="s">
        <v>233</v>
      </c>
      <c r="B25" s="39" t="s">
        <v>146</v>
      </c>
      <c r="C25" s="38" t="s">
        <v>56</v>
      </c>
      <c r="D25" s="38" t="s">
        <v>57</v>
      </c>
      <c r="E25" s="40" t="s">
        <v>147</v>
      </c>
      <c r="F25" s="41" t="s">
        <v>36</v>
      </c>
      <c r="G25" s="42">
        <v>0</v>
      </c>
      <c r="H25" s="42">
        <v>0</v>
      </c>
      <c r="I25" s="41">
        <v>42.3</v>
      </c>
      <c r="J25" s="41">
        <v>0</v>
      </c>
      <c r="K25" s="41">
        <v>0</v>
      </c>
      <c r="L25" s="41">
        <v>0</v>
      </c>
      <c r="M25" s="43">
        <f t="shared" si="0"/>
        <v>42.3</v>
      </c>
      <c r="N25" s="44" t="s">
        <v>158</v>
      </c>
      <c r="O25" s="7"/>
    </row>
    <row r="26" spans="1:15" ht="25.5" customHeight="1">
      <c r="A26" s="144" t="s">
        <v>24</v>
      </c>
      <c r="B26" s="145"/>
      <c r="C26" s="146"/>
      <c r="D26" s="25"/>
      <c r="E26" s="25"/>
      <c r="F26" s="25"/>
      <c r="G26" s="45">
        <f aca="true" t="shared" si="1" ref="G26:M26">SUM(G13:G25)</f>
        <v>217051.28</v>
      </c>
      <c r="H26" s="45">
        <f t="shared" si="1"/>
        <v>254605.16999999995</v>
      </c>
      <c r="I26" s="45">
        <f t="shared" si="1"/>
        <v>293723.9099999999</v>
      </c>
      <c r="J26" s="108">
        <f t="shared" si="1"/>
        <v>299709.72000000003</v>
      </c>
      <c r="K26" s="45">
        <f t="shared" si="1"/>
        <v>296270.26000000007</v>
      </c>
      <c r="L26" s="45">
        <f t="shared" si="1"/>
        <v>296270.26000000007</v>
      </c>
      <c r="M26" s="108">
        <f t="shared" si="1"/>
        <v>1657630.6</v>
      </c>
      <c r="N26" s="25"/>
      <c r="O26" s="3"/>
    </row>
    <row r="27" spans="1:14" ht="33" customHeight="1">
      <c r="A27" s="140" t="s">
        <v>29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2"/>
    </row>
    <row r="28" spans="1:15" s="8" customFormat="1" ht="236.25" customHeight="1">
      <c r="A28" s="20" t="s">
        <v>176</v>
      </c>
      <c r="B28" s="46" t="s">
        <v>132</v>
      </c>
      <c r="C28" s="20" t="s">
        <v>56</v>
      </c>
      <c r="D28" s="47" t="s">
        <v>58</v>
      </c>
      <c r="E28" s="47" t="s">
        <v>94</v>
      </c>
      <c r="F28" s="21" t="s">
        <v>36</v>
      </c>
      <c r="G28" s="48">
        <v>200</v>
      </c>
      <c r="H28" s="48">
        <v>200</v>
      </c>
      <c r="I28" s="48">
        <v>100</v>
      </c>
      <c r="J28" s="48">
        <v>100</v>
      </c>
      <c r="K28" s="48">
        <v>100</v>
      </c>
      <c r="L28" s="48">
        <v>100</v>
      </c>
      <c r="M28" s="49">
        <f>SUM(G28:L28)</f>
        <v>800</v>
      </c>
      <c r="N28" s="46" t="s">
        <v>159</v>
      </c>
      <c r="O28"/>
    </row>
    <row r="29" spans="1:15" ht="356.25" customHeight="1">
      <c r="A29" s="50" t="s">
        <v>26</v>
      </c>
      <c r="B29" s="51" t="s">
        <v>133</v>
      </c>
      <c r="C29" s="52" t="s">
        <v>56</v>
      </c>
      <c r="D29" s="52" t="s">
        <v>57</v>
      </c>
      <c r="E29" s="53" t="s">
        <v>61</v>
      </c>
      <c r="F29" s="52" t="s">
        <v>36</v>
      </c>
      <c r="G29" s="52">
        <v>1852</v>
      </c>
      <c r="H29" s="52"/>
      <c r="I29" s="52"/>
      <c r="J29" s="52"/>
      <c r="K29" s="52"/>
      <c r="L29" s="52"/>
      <c r="M29" s="49">
        <f>SUM(G29:L29)</f>
        <v>1852</v>
      </c>
      <c r="N29" s="52" t="s">
        <v>11</v>
      </c>
      <c r="O29" s="8"/>
    </row>
    <row r="30" spans="1:14" ht="70.5" customHeight="1">
      <c r="A30" s="54" t="s">
        <v>27</v>
      </c>
      <c r="B30" s="55" t="s">
        <v>16</v>
      </c>
      <c r="C30" s="20" t="s">
        <v>56</v>
      </c>
      <c r="D30" s="47" t="s">
        <v>57</v>
      </c>
      <c r="E30" s="47" t="s">
        <v>52</v>
      </c>
      <c r="F30" s="21" t="s">
        <v>51</v>
      </c>
      <c r="G30" s="46">
        <v>241.8</v>
      </c>
      <c r="H30" s="46"/>
      <c r="I30" s="46"/>
      <c r="J30" s="46"/>
      <c r="K30" s="46"/>
      <c r="L30" s="46"/>
      <c r="M30" s="49">
        <f>SUM(G30:L30)</f>
        <v>241.8</v>
      </c>
      <c r="N30" s="46" t="s">
        <v>17</v>
      </c>
    </row>
    <row r="31" spans="1:14" ht="126" customHeight="1">
      <c r="A31" s="54" t="s">
        <v>118</v>
      </c>
      <c r="B31" s="55" t="s">
        <v>85</v>
      </c>
      <c r="C31" s="20" t="s">
        <v>56</v>
      </c>
      <c r="D31" s="47" t="s">
        <v>57</v>
      </c>
      <c r="E31" s="47" t="s">
        <v>52</v>
      </c>
      <c r="F31" s="21" t="s">
        <v>53</v>
      </c>
      <c r="G31" s="46">
        <f>23600+12300</f>
        <v>35900</v>
      </c>
      <c r="H31" s="48"/>
      <c r="I31" s="46"/>
      <c r="J31" s="46"/>
      <c r="K31" s="46"/>
      <c r="L31" s="46"/>
      <c r="M31" s="49">
        <f>SUM(G31:L31)</f>
        <v>35900</v>
      </c>
      <c r="N31" s="55" t="s">
        <v>12</v>
      </c>
    </row>
    <row r="32" spans="1:14" ht="73.5" customHeight="1">
      <c r="A32" s="54" t="s">
        <v>119</v>
      </c>
      <c r="B32" s="55" t="s">
        <v>216</v>
      </c>
      <c r="C32" s="20" t="s">
        <v>56</v>
      </c>
      <c r="D32" s="47" t="s">
        <v>57</v>
      </c>
      <c r="E32" s="47" t="s">
        <v>50</v>
      </c>
      <c r="F32" s="21" t="s">
        <v>54</v>
      </c>
      <c r="G32" s="46">
        <v>30358.76</v>
      </c>
      <c r="H32" s="48"/>
      <c r="I32" s="46"/>
      <c r="J32" s="46"/>
      <c r="K32" s="46"/>
      <c r="L32" s="46"/>
      <c r="M32" s="49">
        <f>SUM(G32:L32)</f>
        <v>30358.76</v>
      </c>
      <c r="N32" s="55"/>
    </row>
    <row r="33" spans="1:17" ht="36.75" customHeight="1">
      <c r="A33" s="56"/>
      <c r="B33" s="57" t="s">
        <v>25</v>
      </c>
      <c r="C33" s="58"/>
      <c r="D33" s="58"/>
      <c r="E33" s="58"/>
      <c r="F33" s="58"/>
      <c r="G33" s="49">
        <f>SUM(G28:G32)</f>
        <v>68552.56</v>
      </c>
      <c r="H33" s="49">
        <f aca="true" t="shared" si="2" ref="H33:M33">SUM(H28:H32)</f>
        <v>200</v>
      </c>
      <c r="I33" s="49">
        <f t="shared" si="2"/>
        <v>100</v>
      </c>
      <c r="J33" s="49">
        <f t="shared" si="2"/>
        <v>100</v>
      </c>
      <c r="K33" s="49">
        <f t="shared" si="2"/>
        <v>100</v>
      </c>
      <c r="L33" s="49">
        <f t="shared" si="2"/>
        <v>100</v>
      </c>
      <c r="M33" s="49">
        <f t="shared" si="2"/>
        <v>69152.56</v>
      </c>
      <c r="N33" s="58"/>
      <c r="P33" s="5"/>
      <c r="Q33" s="5"/>
    </row>
    <row r="34" spans="1:15" ht="48" customHeight="1">
      <c r="A34" s="138" t="s">
        <v>28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5"/>
    </row>
    <row r="35" spans="1:14" ht="184.5" customHeight="1">
      <c r="A35" s="20" t="s">
        <v>177</v>
      </c>
      <c r="B35" s="46" t="s">
        <v>239</v>
      </c>
      <c r="C35" s="20" t="s">
        <v>56</v>
      </c>
      <c r="D35" s="59" t="s">
        <v>57</v>
      </c>
      <c r="E35" s="59" t="s">
        <v>71</v>
      </c>
      <c r="F35" s="21" t="s">
        <v>36</v>
      </c>
      <c r="G35" s="60">
        <v>186.43</v>
      </c>
      <c r="H35" s="61">
        <f>2950+1761</f>
        <v>4711</v>
      </c>
      <c r="I35" s="62"/>
      <c r="J35" s="62"/>
      <c r="K35" s="62"/>
      <c r="L35" s="62"/>
      <c r="M35" s="63">
        <f>SUM(G35:L35)</f>
        <v>4897.43</v>
      </c>
      <c r="N35" s="46" t="s">
        <v>179</v>
      </c>
    </row>
    <row r="36" spans="1:15" s="8" customFormat="1" ht="196.5" customHeight="1">
      <c r="A36" s="20" t="s">
        <v>178</v>
      </c>
      <c r="B36" s="46" t="s">
        <v>240</v>
      </c>
      <c r="C36" s="20" t="s">
        <v>56</v>
      </c>
      <c r="D36" s="59" t="s">
        <v>59</v>
      </c>
      <c r="E36" s="59" t="s">
        <v>238</v>
      </c>
      <c r="F36" s="21" t="s">
        <v>36</v>
      </c>
      <c r="G36" s="60">
        <v>39.47</v>
      </c>
      <c r="H36" s="61">
        <v>48</v>
      </c>
      <c r="I36" s="62"/>
      <c r="J36" s="62"/>
      <c r="K36" s="62"/>
      <c r="L36" s="62"/>
      <c r="M36" s="63">
        <f>SUM(G36:L36)</f>
        <v>87.47</v>
      </c>
      <c r="N36" s="46" t="s">
        <v>179</v>
      </c>
      <c r="O36"/>
    </row>
    <row r="37" spans="1:15" ht="53.25" customHeight="1">
      <c r="A37" s="20" t="s">
        <v>242</v>
      </c>
      <c r="B37" s="46" t="s">
        <v>62</v>
      </c>
      <c r="C37" s="20" t="s">
        <v>56</v>
      </c>
      <c r="D37" s="59" t="s">
        <v>57</v>
      </c>
      <c r="E37" s="59" t="s">
        <v>63</v>
      </c>
      <c r="F37" s="21" t="s">
        <v>36</v>
      </c>
      <c r="G37" s="24">
        <f>3760.87</f>
        <v>3760.87</v>
      </c>
      <c r="H37" s="64"/>
      <c r="I37" s="64"/>
      <c r="J37" s="64"/>
      <c r="K37" s="64"/>
      <c r="L37" s="64"/>
      <c r="M37" s="63">
        <f>SUM(G37:L37)</f>
        <v>3760.87</v>
      </c>
      <c r="N37" s="46" t="s">
        <v>64</v>
      </c>
      <c r="O37" s="8"/>
    </row>
    <row r="38" spans="1:15" s="1" customFormat="1" ht="25.5" customHeight="1">
      <c r="A38" s="152" t="s">
        <v>20</v>
      </c>
      <c r="B38" s="154"/>
      <c r="C38" s="25"/>
      <c r="D38" s="58"/>
      <c r="E38" s="65"/>
      <c r="F38" s="65"/>
      <c r="G38" s="45">
        <f aca="true" t="shared" si="3" ref="G38:N38">SUM(G35:G37)</f>
        <v>3986.77</v>
      </c>
      <c r="H38" s="45">
        <f t="shared" si="3"/>
        <v>4759</v>
      </c>
      <c r="I38" s="45">
        <f t="shared" si="3"/>
        <v>0</v>
      </c>
      <c r="J38" s="45">
        <f t="shared" si="3"/>
        <v>0</v>
      </c>
      <c r="K38" s="45">
        <f t="shared" si="3"/>
        <v>0</v>
      </c>
      <c r="L38" s="45">
        <f t="shared" si="3"/>
        <v>0</v>
      </c>
      <c r="M38" s="45">
        <f t="shared" si="3"/>
        <v>8745.77</v>
      </c>
      <c r="N38" s="45">
        <f t="shared" si="3"/>
        <v>0</v>
      </c>
      <c r="O38"/>
    </row>
    <row r="39" spans="1:15" s="1" customFormat="1" ht="54" customHeight="1">
      <c r="A39" s="123" t="s">
        <v>162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5"/>
      <c r="O39" s="4"/>
    </row>
    <row r="40" spans="1:15" s="1" customFormat="1" ht="230.25" customHeight="1">
      <c r="A40" s="66" t="s">
        <v>180</v>
      </c>
      <c r="B40" s="46" t="s">
        <v>1</v>
      </c>
      <c r="C40" s="21" t="s">
        <v>0</v>
      </c>
      <c r="D40" s="46"/>
      <c r="E40" s="46"/>
      <c r="F40" s="46"/>
      <c r="G40" s="64"/>
      <c r="H40" s="64"/>
      <c r="I40" s="64"/>
      <c r="J40" s="64"/>
      <c r="K40" s="64"/>
      <c r="L40" s="64"/>
      <c r="M40" s="65">
        <f>SUM(G40:L40)</f>
        <v>0</v>
      </c>
      <c r="N40" s="46" t="s">
        <v>218</v>
      </c>
      <c r="O40" s="2"/>
    </row>
    <row r="41" spans="1:15" s="1" customFormat="1" ht="119.25" customHeight="1">
      <c r="A41" s="66" t="s">
        <v>181</v>
      </c>
      <c r="B41" s="46" t="s">
        <v>18</v>
      </c>
      <c r="C41" s="21"/>
      <c r="D41" s="46"/>
      <c r="E41" s="46"/>
      <c r="F41" s="46"/>
      <c r="G41" s="64"/>
      <c r="H41" s="64"/>
      <c r="I41" s="64"/>
      <c r="J41" s="64"/>
      <c r="K41" s="64"/>
      <c r="L41" s="64"/>
      <c r="M41" s="65">
        <f>SUM(G41:L41)</f>
        <v>0</v>
      </c>
      <c r="N41" s="46" t="s">
        <v>19</v>
      </c>
      <c r="O41" s="2"/>
    </row>
    <row r="42" spans="1:15" s="1" customFormat="1" ht="36" customHeight="1">
      <c r="A42" s="152" t="s">
        <v>14</v>
      </c>
      <c r="B42" s="154"/>
      <c r="C42" s="25"/>
      <c r="D42" s="58"/>
      <c r="E42" s="58"/>
      <c r="F42" s="58"/>
      <c r="G42" s="45">
        <f aca="true" t="shared" si="4" ref="G42:M42">SUM(G40:G41)</f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 t="shared" si="4"/>
        <v>0</v>
      </c>
      <c r="L42" s="45">
        <f t="shared" si="4"/>
        <v>0</v>
      </c>
      <c r="M42" s="45">
        <f t="shared" si="4"/>
        <v>0</v>
      </c>
      <c r="N42" s="58"/>
      <c r="O42" s="2"/>
    </row>
    <row r="43" spans="1:15" s="9" customFormat="1" ht="49.5" customHeight="1">
      <c r="A43" s="123" t="s">
        <v>30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/>
      <c r="O43" s="2"/>
    </row>
    <row r="44" spans="1:15" s="9" customFormat="1" ht="370.5" customHeight="1">
      <c r="A44" s="67" t="s">
        <v>15</v>
      </c>
      <c r="B44" s="68" t="s">
        <v>108</v>
      </c>
      <c r="C44" s="67" t="s">
        <v>56</v>
      </c>
      <c r="D44" s="67" t="s">
        <v>59</v>
      </c>
      <c r="E44" s="69" t="s">
        <v>126</v>
      </c>
      <c r="F44" s="21" t="s">
        <v>36</v>
      </c>
      <c r="G44" s="70">
        <f>214911.34-42759.19-13728.47+1170.32</f>
        <v>159594</v>
      </c>
      <c r="H44" s="70">
        <v>163171.8</v>
      </c>
      <c r="I44" s="70">
        <v>197273.6</v>
      </c>
      <c r="J44" s="70">
        <f>19450.5+176818.6</f>
        <v>196269.1</v>
      </c>
      <c r="K44" s="70">
        <f>19450.5+176279.6</f>
        <v>195730.1</v>
      </c>
      <c r="L44" s="70">
        <f>19450.5+176279.6</f>
        <v>195730.1</v>
      </c>
      <c r="M44" s="71">
        <f>SUM(G44:L44)</f>
        <v>1107768.7</v>
      </c>
      <c r="N44" s="52" t="s">
        <v>160</v>
      </c>
      <c r="O44" s="8"/>
    </row>
    <row r="45" spans="1:15" s="9" customFormat="1" ht="134.25" customHeight="1">
      <c r="A45" s="109" t="s">
        <v>182</v>
      </c>
      <c r="B45" s="68" t="s">
        <v>109</v>
      </c>
      <c r="C45" s="67" t="s">
        <v>56</v>
      </c>
      <c r="D45" s="67" t="s">
        <v>59</v>
      </c>
      <c r="E45" s="69" t="s">
        <v>110</v>
      </c>
      <c r="F45" s="21" t="s">
        <v>107</v>
      </c>
      <c r="G45" s="70">
        <v>42759.19</v>
      </c>
      <c r="H45" s="70">
        <v>51016.87</v>
      </c>
      <c r="I45" s="70">
        <v>38527.96</v>
      </c>
      <c r="J45" s="111">
        <f>38768.79-1829.68+4+20.4+906.29+110.47+146.8+903.61+90+22+962.66-1.34</f>
        <v>40104.000000000015</v>
      </c>
      <c r="K45" s="70">
        <v>38768.79</v>
      </c>
      <c r="L45" s="70">
        <v>38768.79</v>
      </c>
      <c r="M45" s="110">
        <f aca="true" t="shared" si="5" ref="M45:M56">SUM(G45:L45)</f>
        <v>249945.60000000003</v>
      </c>
      <c r="N45" s="52" t="s">
        <v>160</v>
      </c>
      <c r="O45" s="8"/>
    </row>
    <row r="46" spans="1:15" s="9" customFormat="1" ht="53.25" customHeight="1">
      <c r="A46" s="67" t="s">
        <v>183</v>
      </c>
      <c r="B46" s="51" t="s">
        <v>145</v>
      </c>
      <c r="C46" s="67" t="s">
        <v>56</v>
      </c>
      <c r="D46" s="67" t="s">
        <v>59</v>
      </c>
      <c r="E46" s="69" t="s">
        <v>144</v>
      </c>
      <c r="F46" s="21" t="s">
        <v>107</v>
      </c>
      <c r="G46" s="70"/>
      <c r="H46" s="70"/>
      <c r="I46" s="70">
        <v>13.3</v>
      </c>
      <c r="J46" s="70">
        <v>121</v>
      </c>
      <c r="K46" s="70">
        <v>121</v>
      </c>
      <c r="L46" s="70">
        <v>121</v>
      </c>
      <c r="M46" s="71">
        <f t="shared" si="5"/>
        <v>376.3</v>
      </c>
      <c r="N46" s="52"/>
      <c r="O46" s="8"/>
    </row>
    <row r="47" spans="1:26" s="11" customFormat="1" ht="131.25" customHeight="1">
      <c r="A47" s="67" t="s">
        <v>184</v>
      </c>
      <c r="B47" s="72" t="s">
        <v>122</v>
      </c>
      <c r="C47" s="67" t="s">
        <v>56</v>
      </c>
      <c r="D47" s="69" t="s">
        <v>149</v>
      </c>
      <c r="E47" s="69" t="s">
        <v>125</v>
      </c>
      <c r="F47" s="73" t="s">
        <v>107</v>
      </c>
      <c r="G47" s="70">
        <v>13728.47</v>
      </c>
      <c r="H47" s="70">
        <v>10507.35</v>
      </c>
      <c r="I47" s="70">
        <f>4968.72-283.4</f>
        <v>4685.320000000001</v>
      </c>
      <c r="J47" s="70">
        <f>3593.39+2212.8</f>
        <v>5806.1900000000005</v>
      </c>
      <c r="K47" s="70">
        <f>3593.39+2212.8</f>
        <v>5806.1900000000005</v>
      </c>
      <c r="L47" s="70">
        <f>3593.39+2212.8</f>
        <v>5806.1900000000005</v>
      </c>
      <c r="M47" s="71">
        <f t="shared" si="5"/>
        <v>46339.71000000001</v>
      </c>
      <c r="N47" s="52" t="s">
        <v>69</v>
      </c>
      <c r="O47" s="8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15" s="7" customFormat="1" ht="215.25" customHeight="1">
      <c r="A48" s="66" t="s">
        <v>185</v>
      </c>
      <c r="B48" s="74" t="s">
        <v>134</v>
      </c>
      <c r="C48" s="67" t="s">
        <v>56</v>
      </c>
      <c r="D48" s="50">
        <v>702</v>
      </c>
      <c r="E48" s="47" t="s">
        <v>77</v>
      </c>
      <c r="F48" s="21" t="s">
        <v>244</v>
      </c>
      <c r="G48" s="75">
        <v>4164.4</v>
      </c>
      <c r="H48" s="75">
        <v>6193.3</v>
      </c>
      <c r="I48" s="75">
        <f>10535.7-2450.3</f>
        <v>8085.400000000001</v>
      </c>
      <c r="J48" s="75">
        <v>9838.2</v>
      </c>
      <c r="K48" s="75">
        <v>10918.6</v>
      </c>
      <c r="L48" s="75">
        <f>10918.6</f>
        <v>10918.6</v>
      </c>
      <c r="M48" s="71">
        <f t="shared" si="5"/>
        <v>50118.5</v>
      </c>
      <c r="N48" s="46" t="s">
        <v>34</v>
      </c>
      <c r="O48" s="10"/>
    </row>
    <row r="49" spans="1:14" s="7" customFormat="1" ht="185.25" customHeight="1">
      <c r="A49" s="20" t="s">
        <v>186</v>
      </c>
      <c r="B49" s="76" t="s">
        <v>129</v>
      </c>
      <c r="C49" s="67" t="s">
        <v>56</v>
      </c>
      <c r="D49" s="67" t="s">
        <v>59</v>
      </c>
      <c r="E49" s="21" t="s">
        <v>82</v>
      </c>
      <c r="F49" s="21" t="s">
        <v>36</v>
      </c>
      <c r="G49" s="24">
        <v>5557.16</v>
      </c>
      <c r="H49" s="24">
        <v>10466.79</v>
      </c>
      <c r="I49" s="24">
        <f>16500.01-782.54-85.63-313.48</f>
        <v>15318.359999999999</v>
      </c>
      <c r="J49" s="24">
        <v>14507.7</v>
      </c>
      <c r="K49" s="24">
        <v>14507.7</v>
      </c>
      <c r="L49" s="24">
        <v>14507.7</v>
      </c>
      <c r="M49" s="77">
        <f t="shared" si="5"/>
        <v>74865.40999999999</v>
      </c>
      <c r="N49" s="34" t="s">
        <v>86</v>
      </c>
    </row>
    <row r="50" spans="1:15" s="3" customFormat="1" ht="199.5" customHeight="1">
      <c r="A50" s="20" t="s">
        <v>187</v>
      </c>
      <c r="B50" s="76" t="s">
        <v>135</v>
      </c>
      <c r="C50" s="67" t="s">
        <v>56</v>
      </c>
      <c r="D50" s="67" t="s">
        <v>59</v>
      </c>
      <c r="E50" s="21" t="s">
        <v>83</v>
      </c>
      <c r="F50" s="21" t="s">
        <v>36</v>
      </c>
      <c r="G50" s="24">
        <v>444.35</v>
      </c>
      <c r="H50" s="24">
        <v>0</v>
      </c>
      <c r="I50" s="24">
        <f>1049.21+154.12</f>
        <v>1203.33</v>
      </c>
      <c r="J50" s="24">
        <v>1829.68</v>
      </c>
      <c r="K50" s="24">
        <v>0</v>
      </c>
      <c r="L50" s="24">
        <v>0</v>
      </c>
      <c r="M50" s="71">
        <f t="shared" si="5"/>
        <v>3477.3599999999997</v>
      </c>
      <c r="N50" s="34" t="s">
        <v>86</v>
      </c>
      <c r="O50" s="7"/>
    </row>
    <row r="51" spans="1:15" s="7" customFormat="1" ht="85.5" customHeight="1">
      <c r="A51" s="105" t="s">
        <v>188</v>
      </c>
      <c r="B51" s="73" t="s">
        <v>227</v>
      </c>
      <c r="C51" s="21"/>
      <c r="D51" s="21"/>
      <c r="E51" s="21"/>
      <c r="F51" s="21"/>
      <c r="G51" s="21">
        <f>13033.8+2245.02</f>
        <v>15278.82</v>
      </c>
      <c r="H51" s="24">
        <f>16130.76+3718</f>
        <v>19848.760000000002</v>
      </c>
      <c r="I51" s="24">
        <f>15690.69+3847.64+2658.03+1248.99</f>
        <v>23445.350000000002</v>
      </c>
      <c r="J51" s="112">
        <f>15690.69+2218.22+0.1+695.62+1999.42+325+13.33</f>
        <v>20942.379999999997</v>
      </c>
      <c r="K51" s="24">
        <f>17908.91+0.1+695.62</f>
        <v>18604.629999999997</v>
      </c>
      <c r="L51" s="24">
        <f>17908.91+0.1+695.62</f>
        <v>18604.629999999997</v>
      </c>
      <c r="M51" s="110">
        <f t="shared" si="5"/>
        <v>116724.57</v>
      </c>
      <c r="N51" s="34"/>
      <c r="O51" s="3"/>
    </row>
    <row r="52" spans="1:14" s="7" customFormat="1" ht="247.5" customHeight="1">
      <c r="A52" s="78" t="s">
        <v>189</v>
      </c>
      <c r="B52" s="68" t="s">
        <v>136</v>
      </c>
      <c r="C52" s="67" t="s">
        <v>56</v>
      </c>
      <c r="D52" s="79" t="s">
        <v>59</v>
      </c>
      <c r="E52" s="47" t="s">
        <v>98</v>
      </c>
      <c r="F52" s="21" t="s">
        <v>97</v>
      </c>
      <c r="G52" s="70">
        <v>0</v>
      </c>
      <c r="H52" s="70">
        <f>326.78-326.78</f>
        <v>0</v>
      </c>
      <c r="I52" s="70">
        <f>13.16+466.2</f>
        <v>479.36</v>
      </c>
      <c r="J52" s="70">
        <v>12.08</v>
      </c>
      <c r="K52" s="70">
        <v>0</v>
      </c>
      <c r="L52" s="70">
        <v>0</v>
      </c>
      <c r="M52" s="71">
        <f t="shared" si="5"/>
        <v>491.44</v>
      </c>
      <c r="N52" s="52" t="s">
        <v>160</v>
      </c>
    </row>
    <row r="53" spans="1:14" s="7" customFormat="1" ht="249" customHeight="1">
      <c r="A53" s="113" t="s">
        <v>190</v>
      </c>
      <c r="B53" s="74" t="s">
        <v>137</v>
      </c>
      <c r="C53" s="79" t="s">
        <v>56</v>
      </c>
      <c r="D53" s="79" t="s">
        <v>59</v>
      </c>
      <c r="E53" s="47" t="s">
        <v>96</v>
      </c>
      <c r="F53" s="21" t="s">
        <v>97</v>
      </c>
      <c r="G53" s="75">
        <v>0</v>
      </c>
      <c r="H53" s="75">
        <f>326.78-326.78</f>
        <v>0</v>
      </c>
      <c r="I53" s="75">
        <v>1.32</v>
      </c>
      <c r="J53" s="115">
        <v>1.34</v>
      </c>
      <c r="K53" s="75">
        <v>0</v>
      </c>
      <c r="L53" s="75">
        <v>0</v>
      </c>
      <c r="M53" s="114">
        <f t="shared" si="5"/>
        <v>2.66</v>
      </c>
      <c r="N53" s="46" t="s">
        <v>160</v>
      </c>
    </row>
    <row r="54" spans="1:14" s="7" customFormat="1" ht="200.25" customHeight="1">
      <c r="A54" s="66" t="s">
        <v>191</v>
      </c>
      <c r="B54" s="51" t="s">
        <v>116</v>
      </c>
      <c r="C54" s="20" t="s">
        <v>56</v>
      </c>
      <c r="D54" s="59" t="s">
        <v>72</v>
      </c>
      <c r="E54" s="59" t="s">
        <v>120</v>
      </c>
      <c r="F54" s="21" t="s">
        <v>36</v>
      </c>
      <c r="G54" s="64"/>
      <c r="H54" s="24">
        <f>1388</f>
        <v>1388</v>
      </c>
      <c r="I54" s="64">
        <v>0</v>
      </c>
      <c r="J54" s="64"/>
      <c r="K54" s="64"/>
      <c r="L54" s="64"/>
      <c r="M54" s="71">
        <f t="shared" si="5"/>
        <v>1388</v>
      </c>
      <c r="N54" s="47" t="s">
        <v>93</v>
      </c>
    </row>
    <row r="55" spans="1:14" s="7" customFormat="1" ht="203.25" customHeight="1">
      <c r="A55" s="66" t="s">
        <v>192</v>
      </c>
      <c r="B55" s="80" t="s">
        <v>116</v>
      </c>
      <c r="C55" s="20" t="s">
        <v>56</v>
      </c>
      <c r="D55" s="59" t="s">
        <v>72</v>
      </c>
      <c r="E55" s="59" t="s">
        <v>117</v>
      </c>
      <c r="F55" s="21" t="s">
        <v>36</v>
      </c>
      <c r="G55" s="64"/>
      <c r="H55" s="24">
        <v>13.88</v>
      </c>
      <c r="I55" s="64">
        <v>115.2</v>
      </c>
      <c r="J55" s="64"/>
      <c r="K55" s="64"/>
      <c r="L55" s="64"/>
      <c r="M55" s="71">
        <f t="shared" si="5"/>
        <v>129.08</v>
      </c>
      <c r="N55" s="47"/>
    </row>
    <row r="56" spans="1:15" ht="172.5" customHeight="1">
      <c r="A56" s="66" t="s">
        <v>193</v>
      </c>
      <c r="B56" s="72" t="s">
        <v>141</v>
      </c>
      <c r="C56" s="20" t="s">
        <v>56</v>
      </c>
      <c r="D56" s="59" t="s">
        <v>142</v>
      </c>
      <c r="E56" s="59" t="s">
        <v>143</v>
      </c>
      <c r="F56" s="21" t="s">
        <v>36</v>
      </c>
      <c r="G56" s="64"/>
      <c r="H56" s="24"/>
      <c r="I56" s="64">
        <v>4.32</v>
      </c>
      <c r="J56" s="64"/>
      <c r="K56" s="64"/>
      <c r="L56" s="64"/>
      <c r="M56" s="71">
        <f t="shared" si="5"/>
        <v>4.32</v>
      </c>
      <c r="N56" s="47"/>
      <c r="O56" s="7"/>
    </row>
    <row r="57" spans="1:14" ht="42" customHeight="1">
      <c r="A57" s="130" t="s">
        <v>21</v>
      </c>
      <c r="B57" s="130"/>
      <c r="C57" s="130"/>
      <c r="D57" s="130"/>
      <c r="E57" s="130"/>
      <c r="F57" s="81"/>
      <c r="G57" s="82">
        <f aca="true" t="shared" si="6" ref="G57:M57">SUM(G44:G56)</f>
        <v>241526.39</v>
      </c>
      <c r="H57" s="82">
        <f t="shared" si="6"/>
        <v>262606.75</v>
      </c>
      <c r="I57" s="82">
        <f t="shared" si="6"/>
        <v>289152.82</v>
      </c>
      <c r="J57" s="116">
        <f t="shared" si="6"/>
        <v>289431.6700000001</v>
      </c>
      <c r="K57" s="82">
        <f t="shared" si="6"/>
        <v>284457.01</v>
      </c>
      <c r="L57" s="82">
        <f t="shared" si="6"/>
        <v>284457.01</v>
      </c>
      <c r="M57" s="116">
        <f t="shared" si="6"/>
        <v>1651631.6500000001</v>
      </c>
      <c r="N57" s="82">
        <f>SUM(N44:N54)</f>
        <v>0</v>
      </c>
    </row>
    <row r="58" spans="1:15" s="9" customFormat="1" ht="45.75" customHeight="1">
      <c r="A58" s="127" t="s">
        <v>31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9"/>
      <c r="O58"/>
    </row>
    <row r="59" spans="1:15" s="9" customFormat="1" ht="132.75" customHeight="1">
      <c r="A59" s="117" t="s">
        <v>32</v>
      </c>
      <c r="B59" s="80" t="s">
        <v>111</v>
      </c>
      <c r="C59" s="67" t="s">
        <v>56</v>
      </c>
      <c r="D59" s="69" t="s">
        <v>221</v>
      </c>
      <c r="E59" s="69" t="s">
        <v>140</v>
      </c>
      <c r="F59" s="21" t="s">
        <v>36</v>
      </c>
      <c r="G59" s="83">
        <f>10602.63+1885.24</f>
        <v>12487.869999999999</v>
      </c>
      <c r="H59" s="83">
        <v>15057.29</v>
      </c>
      <c r="I59" s="83">
        <f>20021.19-159.16+87.9+360+128.9-156.31-0.03+65.65+29.84+27.66-2992.02-884.15+0.03</f>
        <v>16529.5</v>
      </c>
      <c r="J59" s="119">
        <f>17435.88+24.4-190.79-86.72+45.57+100.38+45.63+20.95</f>
        <v>17395.300000000003</v>
      </c>
      <c r="K59" s="83">
        <f>17435.88+24.39</f>
        <v>17460.27</v>
      </c>
      <c r="L59" s="83">
        <f>17435.88+24.39</f>
        <v>17460.27</v>
      </c>
      <c r="M59" s="118">
        <f>SUM(G59:L59)</f>
        <v>96390.50000000001</v>
      </c>
      <c r="N59" s="85" t="s">
        <v>201</v>
      </c>
      <c r="O59" s="8"/>
    </row>
    <row r="60" spans="1:15" s="7" customFormat="1" ht="125.25" customHeight="1">
      <c r="A60" s="78" t="s">
        <v>194</v>
      </c>
      <c r="B60" s="72" t="s">
        <v>122</v>
      </c>
      <c r="C60" s="78" t="s">
        <v>56</v>
      </c>
      <c r="D60" s="38" t="s">
        <v>225</v>
      </c>
      <c r="E60" s="38" t="s">
        <v>127</v>
      </c>
      <c r="F60" s="21" t="s">
        <v>36</v>
      </c>
      <c r="G60" s="83">
        <v>6716.08</v>
      </c>
      <c r="H60" s="83">
        <v>5153.14</v>
      </c>
      <c r="I60" s="83">
        <f>2992.02+1045.98</f>
        <v>4038</v>
      </c>
      <c r="J60" s="83">
        <f>3566.13+230.9-786.62</f>
        <v>3010.4100000000003</v>
      </c>
      <c r="K60" s="83">
        <f>3566.13+230.9-786.62</f>
        <v>3010.4100000000003</v>
      </c>
      <c r="L60" s="83">
        <f>3566.13+230.9-786.62</f>
        <v>3010.4100000000003</v>
      </c>
      <c r="M60" s="84">
        <f aca="true" t="shared" si="7" ref="M60:M66">SUM(G60:L60)</f>
        <v>24938.45</v>
      </c>
      <c r="N60" s="85" t="s">
        <v>70</v>
      </c>
      <c r="O60" s="8"/>
    </row>
    <row r="61" spans="1:14" s="7" customFormat="1" ht="187.5" customHeight="1">
      <c r="A61" s="78" t="s">
        <v>195</v>
      </c>
      <c r="B61" s="76" t="s">
        <v>129</v>
      </c>
      <c r="C61" s="78" t="s">
        <v>56</v>
      </c>
      <c r="D61" s="38" t="s">
        <v>222</v>
      </c>
      <c r="E61" s="21" t="s">
        <v>78</v>
      </c>
      <c r="F61" s="21" t="s">
        <v>36</v>
      </c>
      <c r="G61" s="24">
        <f>483.64+440.76+241.14</f>
        <v>1165.54</v>
      </c>
      <c r="H61" s="24">
        <v>2707.7</v>
      </c>
      <c r="I61" s="24">
        <f>3330.52-105.46-23.46+156.31+0.03+396.91-44.23+0.01</f>
        <v>3710.63</v>
      </c>
      <c r="J61" s="24">
        <v>3240.6</v>
      </c>
      <c r="K61" s="24">
        <v>3240.6</v>
      </c>
      <c r="L61" s="24">
        <v>3240.6</v>
      </c>
      <c r="M61" s="84">
        <f t="shared" si="7"/>
        <v>17305.67</v>
      </c>
      <c r="N61" s="34" t="s">
        <v>87</v>
      </c>
    </row>
    <row r="62" spans="1:15" s="8" customFormat="1" ht="213.75" customHeight="1">
      <c r="A62" s="78" t="s">
        <v>196</v>
      </c>
      <c r="B62" s="100" t="s">
        <v>135</v>
      </c>
      <c r="C62" s="66" t="s">
        <v>56</v>
      </c>
      <c r="D62" s="20" t="s">
        <v>223</v>
      </c>
      <c r="E62" s="21" t="s">
        <v>84</v>
      </c>
      <c r="F62" s="21" t="s">
        <v>36</v>
      </c>
      <c r="G62" s="24">
        <v>35.46</v>
      </c>
      <c r="H62" s="24">
        <v>0</v>
      </c>
      <c r="I62" s="24">
        <f>198.95+31.47+25.61</f>
        <v>256.03</v>
      </c>
      <c r="J62" s="24">
        <f>277.51+69.37</f>
        <v>346.88</v>
      </c>
      <c r="K62" s="24">
        <v>0</v>
      </c>
      <c r="L62" s="24">
        <v>0</v>
      </c>
      <c r="M62" s="101">
        <f t="shared" si="7"/>
        <v>638.3699999999999</v>
      </c>
      <c r="N62" s="34" t="s">
        <v>87</v>
      </c>
      <c r="O62" s="7"/>
    </row>
    <row r="63" spans="1:14" s="8" customFormat="1" ht="152.25" customHeight="1">
      <c r="A63" s="78" t="s">
        <v>197</v>
      </c>
      <c r="B63" s="73" t="s">
        <v>88</v>
      </c>
      <c r="C63" s="78" t="s">
        <v>56</v>
      </c>
      <c r="D63" s="38" t="s">
        <v>224</v>
      </c>
      <c r="E63" s="23">
        <v>224626</v>
      </c>
      <c r="F63" s="21" t="s">
        <v>36</v>
      </c>
      <c r="G63" s="60">
        <v>496.15</v>
      </c>
      <c r="H63" s="60"/>
      <c r="I63" s="60"/>
      <c r="J63" s="60"/>
      <c r="K63" s="60"/>
      <c r="L63" s="60"/>
      <c r="M63" s="84">
        <f t="shared" si="7"/>
        <v>496.15</v>
      </c>
      <c r="N63" s="46" t="s">
        <v>203</v>
      </c>
    </row>
    <row r="64" spans="1:15" ht="136.5" customHeight="1">
      <c r="A64" s="78" t="s">
        <v>198</v>
      </c>
      <c r="B64" s="52" t="s">
        <v>138</v>
      </c>
      <c r="C64" s="78" t="s">
        <v>56</v>
      </c>
      <c r="D64" s="38" t="s">
        <v>224</v>
      </c>
      <c r="E64" s="21" t="s">
        <v>95</v>
      </c>
      <c r="F64" s="21" t="s">
        <v>36</v>
      </c>
      <c r="G64" s="86">
        <v>20.54</v>
      </c>
      <c r="H64" s="86">
        <v>9.82</v>
      </c>
      <c r="I64" s="86">
        <f>42.98-19.93</f>
        <v>23.049999999999997</v>
      </c>
      <c r="J64" s="86">
        <v>17.46</v>
      </c>
      <c r="K64" s="86">
        <v>17.46</v>
      </c>
      <c r="L64" s="86">
        <v>17.46</v>
      </c>
      <c r="M64" s="84">
        <f t="shared" si="7"/>
        <v>105.79000000000002</v>
      </c>
      <c r="N64" s="52" t="s">
        <v>55</v>
      </c>
      <c r="O64" s="8"/>
    </row>
    <row r="65" spans="1:14" ht="200.25" customHeight="1">
      <c r="A65" s="78" t="s">
        <v>199</v>
      </c>
      <c r="B65" s="68" t="s">
        <v>139</v>
      </c>
      <c r="C65" s="78" t="s">
        <v>56</v>
      </c>
      <c r="D65" s="38" t="s">
        <v>224</v>
      </c>
      <c r="E65" s="23" t="s">
        <v>79</v>
      </c>
      <c r="F65" s="21" t="s">
        <v>36</v>
      </c>
      <c r="G65" s="86">
        <v>1027.66</v>
      </c>
      <c r="H65" s="86">
        <v>1066.2</v>
      </c>
      <c r="I65" s="86">
        <v>1066.2</v>
      </c>
      <c r="J65" s="86">
        <v>1066.2</v>
      </c>
      <c r="K65" s="86">
        <v>1066.2</v>
      </c>
      <c r="L65" s="86">
        <v>1066.2</v>
      </c>
      <c r="M65" s="84">
        <f t="shared" si="7"/>
        <v>6358.66</v>
      </c>
      <c r="N65" s="52" t="s">
        <v>219</v>
      </c>
    </row>
    <row r="66" spans="1:14" ht="59.25" customHeight="1">
      <c r="A66" s="78" t="s">
        <v>200</v>
      </c>
      <c r="B66" s="52" t="s">
        <v>228</v>
      </c>
      <c r="C66" s="78"/>
      <c r="D66" s="78"/>
      <c r="E66" s="87"/>
      <c r="F66" s="41"/>
      <c r="G66" s="86">
        <v>100.51</v>
      </c>
      <c r="H66" s="86">
        <f>51.33+220</f>
        <v>271.33</v>
      </c>
      <c r="I66" s="86">
        <f>133.6+361.2+97.7</f>
        <v>592.5</v>
      </c>
      <c r="J66" s="86">
        <f>1505.59+1142.57</f>
        <v>2648.16</v>
      </c>
      <c r="K66" s="86">
        <v>1505.59</v>
      </c>
      <c r="L66" s="86">
        <v>1505.59</v>
      </c>
      <c r="M66" s="84">
        <f t="shared" si="7"/>
        <v>6623.68</v>
      </c>
      <c r="N66" s="52"/>
    </row>
    <row r="67" spans="1:14" ht="36" customHeight="1">
      <c r="A67" s="159" t="s">
        <v>38</v>
      </c>
      <c r="B67" s="160"/>
      <c r="C67" s="88"/>
      <c r="D67" s="88"/>
      <c r="E67" s="88"/>
      <c r="F67" s="88"/>
      <c r="G67" s="89">
        <f aca="true" t="shared" si="8" ref="G67:M67">SUM(G59:G66)</f>
        <v>22049.809999999998</v>
      </c>
      <c r="H67" s="89">
        <f t="shared" si="8"/>
        <v>24265.480000000003</v>
      </c>
      <c r="I67" s="89">
        <f t="shared" si="8"/>
        <v>26215.91</v>
      </c>
      <c r="J67" s="120">
        <f t="shared" si="8"/>
        <v>27725.010000000002</v>
      </c>
      <c r="K67" s="89">
        <f t="shared" si="8"/>
        <v>26300.53</v>
      </c>
      <c r="L67" s="89">
        <f t="shared" si="8"/>
        <v>26300.53</v>
      </c>
      <c r="M67" s="120">
        <f t="shared" si="8"/>
        <v>152857.27</v>
      </c>
      <c r="N67" s="90"/>
    </row>
    <row r="68" spans="1:15" s="8" customFormat="1" ht="61.5" customHeight="1">
      <c r="A68" s="123" t="s">
        <v>44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2"/>
      <c r="O68" s="6"/>
    </row>
    <row r="69" spans="1:14" s="8" customFormat="1" ht="135.75" customHeight="1">
      <c r="A69" s="78" t="s">
        <v>202</v>
      </c>
      <c r="B69" s="46" t="s">
        <v>235</v>
      </c>
      <c r="C69" s="67" t="s">
        <v>56</v>
      </c>
      <c r="D69" s="67" t="s">
        <v>59</v>
      </c>
      <c r="E69" s="47" t="s">
        <v>236</v>
      </c>
      <c r="F69" s="21" t="s">
        <v>36</v>
      </c>
      <c r="G69" s="50">
        <v>3954.97</v>
      </c>
      <c r="H69" s="24">
        <v>1200</v>
      </c>
      <c r="I69" s="24">
        <v>8820.63</v>
      </c>
      <c r="J69" s="24">
        <f>1200+422.96</f>
        <v>1622.96</v>
      </c>
      <c r="K69" s="24">
        <v>1200</v>
      </c>
      <c r="L69" s="24">
        <v>1200</v>
      </c>
      <c r="M69" s="91">
        <f>SUM(G69:L69)</f>
        <v>17998.559999999998</v>
      </c>
      <c r="N69" s="73" t="s">
        <v>204</v>
      </c>
    </row>
    <row r="70" spans="1:14" s="8" customFormat="1" ht="135" customHeight="1">
      <c r="A70" s="78" t="s">
        <v>205</v>
      </c>
      <c r="B70" s="46" t="s">
        <v>241</v>
      </c>
      <c r="C70" s="67" t="s">
        <v>56</v>
      </c>
      <c r="D70" s="67" t="s">
        <v>59</v>
      </c>
      <c r="E70" s="47" t="s">
        <v>80</v>
      </c>
      <c r="F70" s="21" t="s">
        <v>36</v>
      </c>
      <c r="G70" s="50">
        <f>991.74-6.53-985.21</f>
        <v>0</v>
      </c>
      <c r="H70" s="24">
        <f>2204.83+2505.17</f>
        <v>4710</v>
      </c>
      <c r="I70" s="24">
        <v>2300</v>
      </c>
      <c r="J70" s="24">
        <v>1700</v>
      </c>
      <c r="K70" s="24">
        <v>1700</v>
      </c>
      <c r="L70" s="24">
        <v>1700</v>
      </c>
      <c r="M70" s="91">
        <f aca="true" t="shared" si="9" ref="M70:M77">SUM(G70:L70)</f>
        <v>12110</v>
      </c>
      <c r="N70" s="73" t="s">
        <v>91</v>
      </c>
    </row>
    <row r="71" spans="1:14" s="8" customFormat="1" ht="167.25" customHeight="1">
      <c r="A71" s="78" t="s">
        <v>251</v>
      </c>
      <c r="B71" s="46" t="s">
        <v>65</v>
      </c>
      <c r="C71" s="67" t="s">
        <v>56</v>
      </c>
      <c r="D71" s="67" t="s">
        <v>59</v>
      </c>
      <c r="E71" s="47" t="s">
        <v>237</v>
      </c>
      <c r="F71" s="21" t="s">
        <v>36</v>
      </c>
      <c r="G71" s="50">
        <v>220.67</v>
      </c>
      <c r="H71" s="48">
        <v>0</v>
      </c>
      <c r="I71" s="48">
        <v>0</v>
      </c>
      <c r="J71" s="48"/>
      <c r="K71" s="48"/>
      <c r="L71" s="48"/>
      <c r="M71" s="91">
        <f t="shared" si="9"/>
        <v>220.67</v>
      </c>
      <c r="N71" s="73" t="s">
        <v>39</v>
      </c>
    </row>
    <row r="72" spans="1:14" s="8" customFormat="1" ht="213" customHeight="1">
      <c r="A72" s="66" t="s">
        <v>206</v>
      </c>
      <c r="B72" s="51" t="s">
        <v>151</v>
      </c>
      <c r="C72" s="79" t="s">
        <v>56</v>
      </c>
      <c r="D72" s="79" t="s">
        <v>59</v>
      </c>
      <c r="E72" s="47" t="s">
        <v>150</v>
      </c>
      <c r="F72" s="21" t="s">
        <v>36</v>
      </c>
      <c r="G72" s="50"/>
      <c r="H72" s="48">
        <v>0</v>
      </c>
      <c r="I72" s="48">
        <v>110.12</v>
      </c>
      <c r="J72" s="48">
        <v>90.3</v>
      </c>
      <c r="K72" s="48">
        <v>90.3</v>
      </c>
      <c r="L72" s="48">
        <v>90.3</v>
      </c>
      <c r="M72" s="45">
        <f t="shared" si="9"/>
        <v>381.02000000000004</v>
      </c>
      <c r="N72" s="73" t="s">
        <v>104</v>
      </c>
    </row>
    <row r="73" spans="1:14" s="8" customFormat="1" ht="150" customHeight="1">
      <c r="A73" s="78" t="s">
        <v>207</v>
      </c>
      <c r="B73" s="46" t="s">
        <v>121</v>
      </c>
      <c r="C73" s="67" t="s">
        <v>56</v>
      </c>
      <c r="D73" s="67" t="s">
        <v>59</v>
      </c>
      <c r="E73" s="20" t="s">
        <v>90</v>
      </c>
      <c r="F73" s="21" t="s">
        <v>36</v>
      </c>
      <c r="G73" s="50"/>
      <c r="H73" s="24">
        <v>0</v>
      </c>
      <c r="I73" s="24">
        <v>15.67</v>
      </c>
      <c r="J73" s="24">
        <v>17.3</v>
      </c>
      <c r="K73" s="24"/>
      <c r="L73" s="24"/>
      <c r="M73" s="91">
        <f t="shared" si="9"/>
        <v>32.97</v>
      </c>
      <c r="N73" s="73" t="s">
        <v>92</v>
      </c>
    </row>
    <row r="74" spans="1:14" s="8" customFormat="1" ht="70.5" customHeight="1">
      <c r="A74" s="78"/>
      <c r="B74" s="46" t="s">
        <v>245</v>
      </c>
      <c r="C74" s="67"/>
      <c r="D74" s="67"/>
      <c r="E74" s="20"/>
      <c r="F74" s="21"/>
      <c r="G74" s="50"/>
      <c r="H74" s="24"/>
      <c r="I74" s="24"/>
      <c r="J74" s="92" t="s">
        <v>247</v>
      </c>
      <c r="K74" s="24"/>
      <c r="L74" s="24"/>
      <c r="M74" s="91"/>
      <c r="N74" s="73"/>
    </row>
    <row r="75" spans="1:14" s="8" customFormat="1" ht="133.5" customHeight="1">
      <c r="A75" s="161" t="s">
        <v>243</v>
      </c>
      <c r="B75" s="46" t="s">
        <v>112</v>
      </c>
      <c r="C75" s="67" t="s">
        <v>56</v>
      </c>
      <c r="D75" s="67" t="s">
        <v>59</v>
      </c>
      <c r="E75" s="47" t="s">
        <v>234</v>
      </c>
      <c r="F75" s="21" t="s">
        <v>36</v>
      </c>
      <c r="G75" s="50">
        <v>461.49</v>
      </c>
      <c r="H75" s="24">
        <v>0</v>
      </c>
      <c r="I75" s="24">
        <v>1620.7</v>
      </c>
      <c r="J75" s="24">
        <v>1729.6</v>
      </c>
      <c r="K75" s="24"/>
      <c r="L75" s="24"/>
      <c r="M75" s="91">
        <f t="shared" si="9"/>
        <v>3811.79</v>
      </c>
      <c r="N75" s="46" t="s">
        <v>99</v>
      </c>
    </row>
    <row r="76" spans="1:14" s="8" customFormat="1" ht="73.5" customHeight="1">
      <c r="A76" s="162"/>
      <c r="B76" s="46" t="s">
        <v>245</v>
      </c>
      <c r="C76" s="67" t="s">
        <v>56</v>
      </c>
      <c r="D76" s="67" t="s">
        <v>59</v>
      </c>
      <c r="E76" s="47" t="s">
        <v>234</v>
      </c>
      <c r="F76" s="21" t="s">
        <v>36</v>
      </c>
      <c r="G76" s="50"/>
      <c r="H76" s="24"/>
      <c r="I76" s="24"/>
      <c r="J76" s="92" t="s">
        <v>246</v>
      </c>
      <c r="K76" s="24"/>
      <c r="L76" s="24"/>
      <c r="M76" s="91"/>
      <c r="N76" s="46"/>
    </row>
    <row r="77" spans="1:15" ht="249" customHeight="1">
      <c r="A77" s="78" t="s">
        <v>208</v>
      </c>
      <c r="B77" s="46" t="s">
        <v>113</v>
      </c>
      <c r="C77" s="67" t="s">
        <v>56</v>
      </c>
      <c r="D77" s="67" t="s">
        <v>59</v>
      </c>
      <c r="E77" s="47" t="s">
        <v>100</v>
      </c>
      <c r="F77" s="21" t="s">
        <v>36</v>
      </c>
      <c r="G77" s="50"/>
      <c r="H77" s="24">
        <v>0</v>
      </c>
      <c r="I77" s="24">
        <v>81.04</v>
      </c>
      <c r="J77" s="24"/>
      <c r="K77" s="24"/>
      <c r="L77" s="24"/>
      <c r="M77" s="91">
        <f t="shared" si="9"/>
        <v>81.04</v>
      </c>
      <c r="N77" s="46" t="s">
        <v>99</v>
      </c>
      <c r="O77" s="8"/>
    </row>
    <row r="78" spans="1:14" ht="30" customHeight="1">
      <c r="A78" s="133" t="s">
        <v>60</v>
      </c>
      <c r="B78" s="134"/>
      <c r="C78" s="90"/>
      <c r="D78" s="90"/>
      <c r="E78" s="90"/>
      <c r="F78" s="90"/>
      <c r="G78" s="93">
        <f aca="true" t="shared" si="10" ref="G78:N78">SUM(G69:G77)</f>
        <v>4637.129999999999</v>
      </c>
      <c r="H78" s="93">
        <f t="shared" si="10"/>
        <v>5910</v>
      </c>
      <c r="I78" s="93">
        <f t="shared" si="10"/>
        <v>12948.160000000002</v>
      </c>
      <c r="J78" s="93">
        <f>J69+J70+J71+J72+J73+J75+J77</f>
        <v>5160.16</v>
      </c>
      <c r="K78" s="93">
        <f t="shared" si="10"/>
        <v>2990.3</v>
      </c>
      <c r="L78" s="93">
        <f t="shared" si="10"/>
        <v>2990.3</v>
      </c>
      <c r="M78" s="93">
        <f t="shared" si="10"/>
        <v>34636.049999999996</v>
      </c>
      <c r="N78" s="93">
        <f t="shared" si="10"/>
        <v>0</v>
      </c>
    </row>
    <row r="79" spans="1:15" ht="66.75" customHeight="1">
      <c r="A79" s="123" t="s">
        <v>45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2"/>
      <c r="O79" s="6"/>
    </row>
    <row r="80" spans="1:14" ht="167.25" customHeight="1">
      <c r="A80" s="94" t="s">
        <v>209</v>
      </c>
      <c r="B80" s="95" t="s">
        <v>40</v>
      </c>
      <c r="C80" s="67" t="s">
        <v>56</v>
      </c>
      <c r="D80" s="67" t="s">
        <v>59</v>
      </c>
      <c r="E80" s="79" t="s">
        <v>49</v>
      </c>
      <c r="F80" s="21" t="s">
        <v>36</v>
      </c>
      <c r="G80" s="75">
        <v>0</v>
      </c>
      <c r="H80" s="48">
        <v>0</v>
      </c>
      <c r="I80" s="48">
        <v>0</v>
      </c>
      <c r="J80" s="48"/>
      <c r="K80" s="48"/>
      <c r="L80" s="48"/>
      <c r="M80" s="49">
        <f>SUM(G80:L80)</f>
        <v>0</v>
      </c>
      <c r="N80" s="95" t="s">
        <v>210</v>
      </c>
    </row>
    <row r="81" spans="1:15" s="8" customFormat="1" ht="182.25" customHeight="1">
      <c r="A81" s="94" t="s">
        <v>213</v>
      </c>
      <c r="B81" s="73" t="s">
        <v>2</v>
      </c>
      <c r="C81" s="67" t="s">
        <v>56</v>
      </c>
      <c r="D81" s="67" t="s">
        <v>59</v>
      </c>
      <c r="E81" s="79" t="s">
        <v>49</v>
      </c>
      <c r="F81" s="50"/>
      <c r="G81" s="50">
        <v>0</v>
      </c>
      <c r="H81" s="24"/>
      <c r="I81" s="24"/>
      <c r="J81" s="24"/>
      <c r="K81" s="24"/>
      <c r="L81" s="24"/>
      <c r="M81" s="49">
        <f>SUM(G81:L81)</f>
        <v>0</v>
      </c>
      <c r="N81" s="73" t="s">
        <v>211</v>
      </c>
      <c r="O81"/>
    </row>
    <row r="82" spans="1:15" ht="132.75" customHeight="1">
      <c r="A82" s="61" t="s">
        <v>212</v>
      </c>
      <c r="B82" s="46" t="s">
        <v>67</v>
      </c>
      <c r="C82" s="79" t="s">
        <v>56</v>
      </c>
      <c r="D82" s="79" t="s">
        <v>59</v>
      </c>
      <c r="E82" s="79" t="s">
        <v>66</v>
      </c>
      <c r="F82" s="21" t="s">
        <v>36</v>
      </c>
      <c r="G82" s="75"/>
      <c r="H82" s="24">
        <v>0</v>
      </c>
      <c r="I82" s="24">
        <v>0</v>
      </c>
      <c r="J82" s="24"/>
      <c r="K82" s="24"/>
      <c r="L82" s="24"/>
      <c r="M82" s="49">
        <f>SUM(G82:L82)</f>
        <v>0</v>
      </c>
      <c r="N82" s="73" t="s">
        <v>217</v>
      </c>
      <c r="O82" s="8"/>
    </row>
    <row r="83" spans="1:14" ht="33.75" customHeight="1">
      <c r="A83" s="133" t="s">
        <v>47</v>
      </c>
      <c r="B83" s="134"/>
      <c r="C83" s="90"/>
      <c r="D83" s="90"/>
      <c r="E83" s="90"/>
      <c r="F83" s="90"/>
      <c r="G83" s="93">
        <f aca="true" t="shared" si="11" ref="G83:M83">SUM(G80:G82)</f>
        <v>0</v>
      </c>
      <c r="H83" s="93">
        <f t="shared" si="11"/>
        <v>0</v>
      </c>
      <c r="I83" s="93">
        <f t="shared" si="11"/>
        <v>0</v>
      </c>
      <c r="J83" s="93">
        <f t="shared" si="11"/>
        <v>0</v>
      </c>
      <c r="K83" s="93">
        <f t="shared" si="11"/>
        <v>0</v>
      </c>
      <c r="L83" s="93">
        <f t="shared" si="11"/>
        <v>0</v>
      </c>
      <c r="M83" s="93">
        <f t="shared" si="11"/>
        <v>0</v>
      </c>
      <c r="N83" s="90"/>
    </row>
    <row r="84" spans="1:15" ht="57" customHeight="1">
      <c r="A84" s="123" t="s">
        <v>220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2"/>
      <c r="O84" s="6"/>
    </row>
    <row r="85" spans="1:14" ht="101.25" customHeight="1">
      <c r="A85" s="96" t="s">
        <v>214</v>
      </c>
      <c r="B85" s="95" t="s">
        <v>41</v>
      </c>
      <c r="C85" s="78" t="s">
        <v>56</v>
      </c>
      <c r="D85" s="78" t="s">
        <v>59</v>
      </c>
      <c r="E85" s="66" t="s">
        <v>49</v>
      </c>
      <c r="F85" s="21" t="s">
        <v>36</v>
      </c>
      <c r="G85" s="61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45">
        <f>SUM(G85:L85)</f>
        <v>0</v>
      </c>
      <c r="N85" s="95" t="s">
        <v>42</v>
      </c>
    </row>
    <row r="86" spans="1:14" ht="72.75" customHeight="1">
      <c r="A86" s="60" t="s">
        <v>215</v>
      </c>
      <c r="B86" s="73" t="s">
        <v>43</v>
      </c>
      <c r="C86" s="60"/>
      <c r="D86" s="60"/>
      <c r="E86" s="60"/>
      <c r="F86" s="60" t="s">
        <v>0</v>
      </c>
      <c r="G86" s="60"/>
      <c r="H86" s="61"/>
      <c r="I86" s="61"/>
      <c r="J86" s="61"/>
      <c r="K86" s="61"/>
      <c r="L86" s="61"/>
      <c r="M86" s="45">
        <f>SUM(G86:L86)</f>
        <v>0</v>
      </c>
      <c r="N86" s="73" t="s">
        <v>89</v>
      </c>
    </row>
    <row r="87" spans="1:14" ht="19.5" customHeight="1">
      <c r="A87" s="97"/>
      <c r="B87" s="98" t="s">
        <v>46</v>
      </c>
      <c r="C87" s="97"/>
      <c r="D87" s="97"/>
      <c r="E87" s="97"/>
      <c r="F87" s="97"/>
      <c r="G87" s="99">
        <f aca="true" t="shared" si="12" ref="G87:M87">SUM(G85:G86)</f>
        <v>0</v>
      </c>
      <c r="H87" s="99">
        <f t="shared" si="12"/>
        <v>0</v>
      </c>
      <c r="I87" s="99">
        <f t="shared" si="12"/>
        <v>0</v>
      </c>
      <c r="J87" s="99">
        <f t="shared" si="12"/>
        <v>0</v>
      </c>
      <c r="K87" s="99">
        <f t="shared" si="12"/>
        <v>0</v>
      </c>
      <c r="L87" s="99">
        <f t="shared" si="12"/>
        <v>0</v>
      </c>
      <c r="M87" s="99">
        <f t="shared" si="12"/>
        <v>0</v>
      </c>
      <c r="N87" s="97"/>
    </row>
    <row r="88" spans="1:14" ht="31.5" customHeight="1">
      <c r="A88" s="156" t="s">
        <v>22</v>
      </c>
      <c r="B88" s="157"/>
      <c r="C88" s="97"/>
      <c r="D88" s="97"/>
      <c r="E88" s="97"/>
      <c r="F88" s="97"/>
      <c r="G88" s="99">
        <f aca="true" t="shared" si="13" ref="G88:M88">G26+G33+G38+G42+G57+G67+G78+G83+G87</f>
        <v>557803.9400000001</v>
      </c>
      <c r="H88" s="99">
        <f t="shared" si="13"/>
        <v>552346.3999999999</v>
      </c>
      <c r="I88" s="99">
        <f t="shared" si="13"/>
        <v>622140.8</v>
      </c>
      <c r="J88" s="121">
        <f t="shared" si="13"/>
        <v>622126.5600000002</v>
      </c>
      <c r="K88" s="99">
        <f t="shared" si="13"/>
        <v>610118.1000000001</v>
      </c>
      <c r="L88" s="99">
        <f t="shared" si="13"/>
        <v>610118.1000000001</v>
      </c>
      <c r="M88" s="121">
        <f t="shared" si="13"/>
        <v>3574653.9</v>
      </c>
      <c r="N88" s="97"/>
    </row>
    <row r="89" spans="1:14" ht="15.7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</row>
    <row r="90" spans="1:14" ht="15" hidden="1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.75">
      <c r="A91" s="1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</row>
    <row r="92" spans="1:14" ht="15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5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</sheetData>
  <sheetProtection/>
  <mergeCells count="35">
    <mergeCell ref="A3:N3"/>
    <mergeCell ref="A38:B38"/>
    <mergeCell ref="A42:B42"/>
    <mergeCell ref="A67:B67"/>
    <mergeCell ref="A75:A76"/>
    <mergeCell ref="A78:B78"/>
    <mergeCell ref="A12:N12"/>
    <mergeCell ref="A6:N6"/>
    <mergeCell ref="A7:N7"/>
    <mergeCell ref="E2:N2"/>
    <mergeCell ref="A1:N1"/>
    <mergeCell ref="A5:N5"/>
    <mergeCell ref="A11:N11"/>
    <mergeCell ref="B9:B10"/>
    <mergeCell ref="N9:N10"/>
    <mergeCell ref="A9:A10"/>
    <mergeCell ref="C9:F9"/>
    <mergeCell ref="M4:N4"/>
    <mergeCell ref="G9:L9"/>
    <mergeCell ref="A8:N8"/>
    <mergeCell ref="A34:N34"/>
    <mergeCell ref="A27:N27"/>
    <mergeCell ref="M9:M10"/>
    <mergeCell ref="A26:C26"/>
    <mergeCell ref="A39:N39"/>
    <mergeCell ref="A89:N89"/>
    <mergeCell ref="A43:N43"/>
    <mergeCell ref="B91:N91"/>
    <mergeCell ref="A58:N58"/>
    <mergeCell ref="A57:E57"/>
    <mergeCell ref="A68:N68"/>
    <mergeCell ref="A84:N84"/>
    <mergeCell ref="A79:N79"/>
    <mergeCell ref="A83:B83"/>
    <mergeCell ref="A88:B88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2017-06-19T02:47:11Z</cp:lastPrinted>
  <dcterms:created xsi:type="dcterms:W3CDTF">2010-09-05T13:57:35Z</dcterms:created>
  <dcterms:modified xsi:type="dcterms:W3CDTF">2017-06-19T02:48:09Z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